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f\Downloads\"/>
    </mc:Choice>
  </mc:AlternateContent>
  <xr:revisionPtr revIDLastSave="0" documentId="13_ncr:1_{A0332DEF-81E7-461B-B209-470C747456F9}" xr6:coauthVersionLast="47" xr6:coauthVersionMax="47" xr10:uidLastSave="{00000000-0000-0000-0000-000000000000}"/>
  <bookViews>
    <workbookView xWindow="-5700" yWindow="-21720" windowWidth="30960" windowHeight="16800" tabRatio="500" firstSheet="1" activeTab="1" xr2:uid="{00000000-000D-0000-FFFF-FFFF00000000}"/>
  </bookViews>
  <sheets>
    <sheet name="🎯 Dashboard" sheetId="1" r:id="rId1"/>
    <sheet name="⚙️ Antagelser" sheetId="2" r:id="rId2"/>
    <sheet name="📊 Resultatbudget" sheetId="3" r:id="rId3"/>
    <sheet name="🧾 Momsopgørelse" sheetId="4" r:id="rId4"/>
    <sheet name="💧 Likviditet" sheetId="5" r:id="rId5"/>
    <sheet name="🏛️ Skatteberegner" sheetId="6" r:id="rId6"/>
    <sheet name="📐 Break-even" sheetId="7" r:id="rId7"/>
    <sheet name="💼 Lønberegner" sheetId="8" r:id="rId8"/>
    <sheet name="📈 Investering" sheetId="9" r:id="rId9"/>
    <sheet name="📥 Debitorer" sheetId="10" r:id="rId10"/>
    <sheet name="📤 Kreditorer" sheetId="11" r:id="rId11"/>
    <sheet name="_ChartData" sheetId="12" state="hidden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2" i="11" l="1"/>
  <c r="B18" i="11"/>
  <c r="F9" i="11"/>
  <c r="G9" i="11" s="1"/>
  <c r="F8" i="11"/>
  <c r="G8" i="11" s="1"/>
  <c r="F7" i="11"/>
  <c r="G7" i="11" s="1"/>
  <c r="F6" i="11"/>
  <c r="G6" i="11" s="1"/>
  <c r="F5" i="11"/>
  <c r="B22" i="10"/>
  <c r="H9" i="10"/>
  <c r="F9" i="10"/>
  <c r="G9" i="10" s="1"/>
  <c r="H8" i="10"/>
  <c r="F8" i="10"/>
  <c r="G8" i="10" s="1"/>
  <c r="H7" i="10"/>
  <c r="F7" i="10"/>
  <c r="G7" i="10" s="1"/>
  <c r="H6" i="10"/>
  <c r="F6" i="10"/>
  <c r="G6" i="10" s="1"/>
  <c r="H5" i="10"/>
  <c r="F5" i="10"/>
  <c r="D27" i="9"/>
  <c r="C27" i="9"/>
  <c r="C26" i="9"/>
  <c r="D15" i="9"/>
  <c r="C15" i="9"/>
  <c r="B15" i="9"/>
  <c r="B28" i="8"/>
  <c r="B26" i="8"/>
  <c r="E22" i="8"/>
  <c r="E23" i="8" s="1"/>
  <c r="D22" i="8"/>
  <c r="D23" i="8" s="1"/>
  <c r="C22" i="8"/>
  <c r="C23" i="8" s="1"/>
  <c r="B22" i="8"/>
  <c r="E17" i="8"/>
  <c r="E18" i="8" s="1"/>
  <c r="D17" i="8"/>
  <c r="D18" i="8" s="1"/>
  <c r="C17" i="8"/>
  <c r="C18" i="8" s="1"/>
  <c r="B17" i="8"/>
  <c r="B18" i="8" s="1"/>
  <c r="E13" i="8"/>
  <c r="D13" i="8"/>
  <c r="C13" i="8"/>
  <c r="B13" i="8"/>
  <c r="E12" i="8"/>
  <c r="E14" i="8" s="1"/>
  <c r="E15" i="8" s="1"/>
  <c r="E16" i="8" s="1"/>
  <c r="D12" i="8"/>
  <c r="D14" i="8" s="1"/>
  <c r="D15" i="8" s="1"/>
  <c r="D16" i="8" s="1"/>
  <c r="C12" i="8"/>
  <c r="C14" i="8" s="1"/>
  <c r="C15" i="8" s="1"/>
  <c r="C16" i="8" s="1"/>
  <c r="E11" i="8"/>
  <c r="D11" i="8"/>
  <c r="C11" i="8"/>
  <c r="B11" i="8"/>
  <c r="B12" i="8" s="1"/>
  <c r="B14" i="8" s="1"/>
  <c r="B15" i="8" s="1"/>
  <c r="B14" i="7"/>
  <c r="C14" i="7" s="1"/>
  <c r="B13" i="7"/>
  <c r="C13" i="7" s="1"/>
  <c r="B12" i="7"/>
  <c r="C12" i="7" s="1"/>
  <c r="B11" i="7"/>
  <c r="B5" i="7"/>
  <c r="B4" i="7"/>
  <c r="B16" i="6"/>
  <c r="B15" i="6"/>
  <c r="B17" i="6" s="1"/>
  <c r="B22" i="6" s="1"/>
  <c r="C10" i="6"/>
  <c r="D10" i="6" s="1"/>
  <c r="B10" i="6"/>
  <c r="C5" i="6"/>
  <c r="M8" i="5"/>
  <c r="L8" i="5"/>
  <c r="K8" i="5"/>
  <c r="J8" i="5"/>
  <c r="I8" i="5"/>
  <c r="H8" i="5"/>
  <c r="G8" i="5"/>
  <c r="F8" i="5"/>
  <c r="E8" i="5"/>
  <c r="D8" i="5"/>
  <c r="C8" i="5"/>
  <c r="B8" i="5"/>
  <c r="N8" i="5" s="1"/>
  <c r="M6" i="5"/>
  <c r="N6" i="5" s="1"/>
  <c r="L6" i="5"/>
  <c r="K6" i="5"/>
  <c r="J6" i="5"/>
  <c r="I6" i="5"/>
  <c r="H6" i="5"/>
  <c r="G6" i="5"/>
  <c r="F6" i="5"/>
  <c r="E6" i="5"/>
  <c r="D6" i="5"/>
  <c r="C6" i="5"/>
  <c r="B6" i="5"/>
  <c r="B5" i="5"/>
  <c r="B4" i="5"/>
  <c r="M12" i="3"/>
  <c r="L12" i="3"/>
  <c r="K12" i="3"/>
  <c r="J12" i="3"/>
  <c r="I12" i="3"/>
  <c r="H12" i="3"/>
  <c r="G12" i="3"/>
  <c r="F12" i="3"/>
  <c r="E12" i="3"/>
  <c r="D12" i="3"/>
  <c r="C12" i="3"/>
  <c r="B12" i="3"/>
  <c r="N12" i="3" s="1"/>
  <c r="M10" i="3"/>
  <c r="L10" i="3"/>
  <c r="K10" i="3"/>
  <c r="J10" i="3"/>
  <c r="I10" i="3"/>
  <c r="H10" i="3"/>
  <c r="G10" i="3"/>
  <c r="F10" i="3"/>
  <c r="E10" i="3"/>
  <c r="D10" i="3"/>
  <c r="C10" i="3"/>
  <c r="B10" i="3"/>
  <c r="N10" i="3" s="1"/>
  <c r="M9" i="3"/>
  <c r="L9" i="3"/>
  <c r="K9" i="3"/>
  <c r="J9" i="3"/>
  <c r="I9" i="3"/>
  <c r="H9" i="3"/>
  <c r="G9" i="3"/>
  <c r="F9" i="3"/>
  <c r="E9" i="3"/>
  <c r="D9" i="3"/>
  <c r="C9" i="3"/>
  <c r="B9" i="3"/>
  <c r="N9" i="3" s="1"/>
  <c r="M8" i="3"/>
  <c r="M5" i="12" s="1"/>
  <c r="L8" i="3"/>
  <c r="L5" i="12" s="1"/>
  <c r="K8" i="3"/>
  <c r="K5" i="12" s="1"/>
  <c r="J8" i="3"/>
  <c r="J5" i="12" s="1"/>
  <c r="I8" i="3"/>
  <c r="I5" i="12" s="1"/>
  <c r="H8" i="3"/>
  <c r="H5" i="12" s="1"/>
  <c r="G8" i="3"/>
  <c r="G5" i="12" s="1"/>
  <c r="F8" i="3"/>
  <c r="F5" i="12" s="1"/>
  <c r="E8" i="3"/>
  <c r="E5" i="12" s="1"/>
  <c r="D8" i="3"/>
  <c r="D5" i="12" s="1"/>
  <c r="C8" i="3"/>
  <c r="C5" i="12" s="1"/>
  <c r="B8" i="3"/>
  <c r="B4" i="3"/>
  <c r="B22" i="1"/>
  <c r="A2" i="1"/>
  <c r="G5" i="11" l="1"/>
  <c r="B21" i="11"/>
  <c r="B19" i="11"/>
  <c r="B20" i="11"/>
  <c r="B19" i="10"/>
  <c r="B21" i="10"/>
  <c r="G5" i="10"/>
  <c r="B18" i="10" s="1"/>
  <c r="B20" i="10"/>
  <c r="D16" i="9"/>
  <c r="D17" i="9"/>
  <c r="D23" i="9"/>
  <c r="D25" i="9"/>
  <c r="D26" i="9"/>
  <c r="D24" i="9"/>
  <c r="D18" i="9"/>
  <c r="D19" i="9" s="1"/>
  <c r="C16" i="9"/>
  <c r="C18" i="9"/>
  <c r="C19" i="9" s="1"/>
  <c r="C24" i="9"/>
  <c r="C23" i="9"/>
  <c r="C25" i="9"/>
  <c r="C17" i="9"/>
  <c r="B17" i="9"/>
  <c r="B18" i="9"/>
  <c r="B19" i="9" s="1"/>
  <c r="B27" i="9"/>
  <c r="B26" i="9"/>
  <c r="B25" i="9"/>
  <c r="B24" i="9"/>
  <c r="B16" i="9"/>
  <c r="B23" i="9"/>
  <c r="B30" i="8"/>
  <c r="B23" i="8"/>
  <c r="B31" i="8"/>
  <c r="B32" i="8"/>
  <c r="B16" i="8"/>
  <c r="B27" i="8" s="1"/>
  <c r="B29" i="8"/>
  <c r="B15" i="7"/>
  <c r="F29" i="7" s="1"/>
  <c r="C11" i="7"/>
  <c r="C15" i="7" s="1"/>
  <c r="A29" i="7"/>
  <c r="B29" i="7"/>
  <c r="C29" i="7"/>
  <c r="D29" i="7"/>
  <c r="E29" i="7"/>
  <c r="B6" i="7"/>
  <c r="B7" i="7"/>
  <c r="B11" i="6"/>
  <c r="B21" i="6"/>
  <c r="N8" i="3"/>
  <c r="B5" i="12"/>
  <c r="C4" i="3"/>
  <c r="B4" i="4"/>
  <c r="B5" i="3"/>
  <c r="B6" i="3" s="1"/>
  <c r="B2" i="12"/>
  <c r="B19" i="7" l="1"/>
  <c r="I26" i="1" s="1"/>
  <c r="C19" i="7"/>
  <c r="B20" i="7"/>
  <c r="C20" i="7"/>
  <c r="C24" i="7" s="1"/>
  <c r="A17" i="1"/>
  <c r="D4" i="3"/>
  <c r="C5" i="3"/>
  <c r="C6" i="3"/>
  <c r="B23" i="1"/>
  <c r="C4" i="4"/>
  <c r="C5" i="5"/>
  <c r="C2" i="12"/>
  <c r="B11" i="3"/>
  <c r="B7" i="12"/>
  <c r="B5" i="4"/>
  <c r="B6" i="4"/>
  <c r="B7" i="5"/>
  <c r="C28" i="9"/>
  <c r="A31" i="9"/>
  <c r="B28" i="9"/>
  <c r="D28" i="9"/>
  <c r="B21" i="7" l="1"/>
  <c r="B22" i="7" s="1"/>
  <c r="B24" i="7"/>
  <c r="I11" i="1"/>
  <c r="C14" i="1"/>
  <c r="E4" i="3"/>
  <c r="D5" i="3"/>
  <c r="D6" i="3" s="1"/>
  <c r="B24" i="1"/>
  <c r="D4" i="4"/>
  <c r="D5" i="5"/>
  <c r="D2" i="12"/>
  <c r="C6" i="4"/>
  <c r="C7" i="5"/>
  <c r="C11" i="3"/>
  <c r="C7" i="12"/>
  <c r="B13" i="3"/>
  <c r="B7" i="4"/>
  <c r="B8" i="4" s="1"/>
  <c r="B9" i="5"/>
  <c r="C5" i="4"/>
  <c r="F4" i="3" l="1"/>
  <c r="E5" i="3"/>
  <c r="E6" i="3"/>
  <c r="B25" i="1"/>
  <c r="E4" i="4"/>
  <c r="E5" i="5"/>
  <c r="E2" i="12"/>
  <c r="D6" i="4"/>
  <c r="D7" i="5"/>
  <c r="D11" i="3"/>
  <c r="D13" i="3" s="1"/>
  <c r="D7" i="12"/>
  <c r="B23" i="7"/>
  <c r="B3" i="12"/>
  <c r="C22" i="1"/>
  <c r="B6" i="12"/>
  <c r="B4" i="12"/>
  <c r="D22" i="1"/>
  <c r="C4" i="5"/>
  <c r="C9" i="5" s="1"/>
  <c r="D5" i="4"/>
  <c r="C7" i="4"/>
  <c r="C13" i="3"/>
  <c r="G4" i="3" l="1"/>
  <c r="F5" i="3"/>
  <c r="F6" i="3"/>
  <c r="B26" i="1"/>
  <c r="F4" i="4"/>
  <c r="F5" i="5"/>
  <c r="F2" i="12"/>
  <c r="E6" i="4"/>
  <c r="E7" i="4" s="1"/>
  <c r="E8" i="4" s="1"/>
  <c r="E7" i="5"/>
  <c r="E11" i="3"/>
  <c r="E7" i="12"/>
  <c r="E6" i="12"/>
  <c r="D3" i="12"/>
  <c r="C24" i="1"/>
  <c r="C4" i="12"/>
  <c r="D23" i="1"/>
  <c r="D4" i="5"/>
  <c r="D9" i="5" s="1"/>
  <c r="C8" i="4"/>
  <c r="C6" i="12" s="1"/>
  <c r="C23" i="1"/>
  <c r="C3" i="12"/>
  <c r="E5" i="4"/>
  <c r="D7" i="4"/>
  <c r="D8" i="4" s="1"/>
  <c r="H4" i="3" l="1"/>
  <c r="G5" i="3"/>
  <c r="G6" i="3" s="1"/>
  <c r="B27" i="1"/>
  <c r="G4" i="4"/>
  <c r="G5" i="5"/>
  <c r="G2" i="12"/>
  <c r="F6" i="4"/>
  <c r="F7" i="5"/>
  <c r="F11" i="3"/>
  <c r="F13" i="3" s="1"/>
  <c r="F7" i="12"/>
  <c r="E13" i="3"/>
  <c r="D4" i="12"/>
  <c r="D24" i="1"/>
  <c r="E4" i="5"/>
  <c r="E9" i="5" s="1"/>
  <c r="B12" i="4"/>
  <c r="D6" i="12"/>
  <c r="F5" i="4"/>
  <c r="I4" i="3" l="1"/>
  <c r="H5" i="3"/>
  <c r="H6" i="3"/>
  <c r="B28" i="1"/>
  <c r="H4" i="4"/>
  <c r="H5" i="5"/>
  <c r="H2" i="12"/>
  <c r="G6" i="4"/>
  <c r="G7" i="5"/>
  <c r="G11" i="3"/>
  <c r="G7" i="12"/>
  <c r="F7" i="4"/>
  <c r="F3" i="12"/>
  <c r="C26" i="1"/>
  <c r="E3" i="12"/>
  <c r="C25" i="1"/>
  <c r="E4" i="12"/>
  <c r="D25" i="1"/>
  <c r="F4" i="5"/>
  <c r="F9" i="5" s="1"/>
  <c r="G5" i="4"/>
  <c r="J4" i="3" l="1"/>
  <c r="I5" i="3"/>
  <c r="I6" i="3"/>
  <c r="B29" i="1"/>
  <c r="I4" i="4"/>
  <c r="I5" i="5"/>
  <c r="I2" i="12"/>
  <c r="H6" i="4"/>
  <c r="H7" i="5"/>
  <c r="H11" i="3"/>
  <c r="H7" i="12"/>
  <c r="G13" i="3"/>
  <c r="F8" i="4"/>
  <c r="F4" i="12"/>
  <c r="D26" i="1"/>
  <c r="G4" i="5"/>
  <c r="G9" i="5" s="1"/>
  <c r="H5" i="4"/>
  <c r="G7" i="4"/>
  <c r="G8" i="4" s="1"/>
  <c r="G6" i="12" s="1"/>
  <c r="K4" i="3" l="1"/>
  <c r="J5" i="3"/>
  <c r="J6" i="3"/>
  <c r="J4" i="4"/>
  <c r="J5" i="5"/>
  <c r="J2" i="12"/>
  <c r="B30" i="1"/>
  <c r="I6" i="4"/>
  <c r="I7" i="5"/>
  <c r="I11" i="3"/>
  <c r="I7" i="12"/>
  <c r="G3" i="12"/>
  <c r="C27" i="1"/>
  <c r="B13" i="4"/>
  <c r="F6" i="12"/>
  <c r="G4" i="12"/>
  <c r="D27" i="1"/>
  <c r="H4" i="5"/>
  <c r="H9" i="5" s="1"/>
  <c r="I5" i="4"/>
  <c r="H7" i="4"/>
  <c r="H13" i="3"/>
  <c r="L4" i="3" l="1"/>
  <c r="K5" i="3"/>
  <c r="K6" i="3"/>
  <c r="B31" i="1"/>
  <c r="K4" i="4"/>
  <c r="K5" i="5"/>
  <c r="K2" i="12"/>
  <c r="J6" i="4"/>
  <c r="J7" i="5"/>
  <c r="J11" i="3"/>
  <c r="J7" i="12"/>
  <c r="H4" i="12"/>
  <c r="D28" i="1"/>
  <c r="I4" i="5"/>
  <c r="I9" i="5" s="1"/>
  <c r="H8" i="4"/>
  <c r="C28" i="1"/>
  <c r="H3" i="12"/>
  <c r="J5" i="4"/>
  <c r="I7" i="4"/>
  <c r="I8" i="4" s="1"/>
  <c r="I13" i="3"/>
  <c r="M4" i="3" l="1"/>
  <c r="N4" i="3" s="1"/>
  <c r="L5" i="3"/>
  <c r="L6" i="3"/>
  <c r="B32" i="1"/>
  <c r="L4" i="4"/>
  <c r="L5" i="5"/>
  <c r="L2" i="12"/>
  <c r="K6" i="4"/>
  <c r="K7" i="5"/>
  <c r="K11" i="3"/>
  <c r="K7" i="12"/>
  <c r="I4" i="12"/>
  <c r="D29" i="1"/>
  <c r="J4" i="5"/>
  <c r="J9" i="5" s="1"/>
  <c r="H6" i="12"/>
  <c r="B14" i="4"/>
  <c r="I6" i="12"/>
  <c r="C29" i="1"/>
  <c r="I3" i="12"/>
  <c r="K5" i="4"/>
  <c r="J7" i="4"/>
  <c r="J13" i="3"/>
  <c r="B34" i="1" l="1"/>
  <c r="A6" i="1"/>
  <c r="I5" i="1"/>
  <c r="C21" i="7"/>
  <c r="C22" i="7" s="1"/>
  <c r="I22" i="1"/>
  <c r="M5" i="3"/>
  <c r="M6" i="3"/>
  <c r="N6" i="3" s="1"/>
  <c r="I18" i="1"/>
  <c r="B33" i="1"/>
  <c r="M4" i="4"/>
  <c r="M5" i="4" s="1"/>
  <c r="M5" i="5"/>
  <c r="N5" i="5" s="1"/>
  <c r="M2" i="12"/>
  <c r="N5" i="3"/>
  <c r="L6" i="4"/>
  <c r="L7" i="4" s="1"/>
  <c r="L8" i="4" s="1"/>
  <c r="L6" i="12" s="1"/>
  <c r="L7" i="5"/>
  <c r="L11" i="3"/>
  <c r="L7" i="12"/>
  <c r="J4" i="12"/>
  <c r="D30" i="1"/>
  <c r="K4" i="5"/>
  <c r="K9" i="5" s="1"/>
  <c r="J8" i="4"/>
  <c r="J6" i="12" s="1"/>
  <c r="C30" i="1"/>
  <c r="J3" i="12"/>
  <c r="L5" i="4"/>
  <c r="N5" i="4" s="1"/>
  <c r="N4" i="4"/>
  <c r="K7" i="4"/>
  <c r="K8" i="4" s="1"/>
  <c r="K13" i="3"/>
  <c r="M6" i="4" l="1"/>
  <c r="M7" i="5"/>
  <c r="N7" i="5" s="1"/>
  <c r="M11" i="3"/>
  <c r="M7" i="12"/>
  <c r="K4" i="12"/>
  <c r="D31" i="1"/>
  <c r="L4" i="5"/>
  <c r="L9" i="5" s="1"/>
  <c r="K6" i="12"/>
  <c r="C31" i="1"/>
  <c r="K3" i="12"/>
  <c r="N13" i="3"/>
  <c r="L13" i="3"/>
  <c r="N6" i="4" l="1"/>
  <c r="M7" i="4"/>
  <c r="L4" i="12"/>
  <c r="D32" i="1"/>
  <c r="M4" i="5"/>
  <c r="M9" i="5" s="1"/>
  <c r="B5" i="6"/>
  <c r="C6" i="1"/>
  <c r="I7" i="1"/>
  <c r="C34" i="1"/>
  <c r="C32" i="1"/>
  <c r="L3" i="12"/>
  <c r="M13" i="3"/>
  <c r="N11" i="3"/>
  <c r="A9" i="1" s="1"/>
  <c r="N7" i="4" l="1"/>
  <c r="M8" i="4"/>
  <c r="M4" i="12"/>
  <c r="C9" i="1"/>
  <c r="I9" i="1"/>
  <c r="D33" i="1"/>
  <c r="D5" i="6"/>
  <c r="B6" i="6"/>
  <c r="C33" i="1"/>
  <c r="M3" i="12"/>
  <c r="I20" i="1"/>
  <c r="B15" i="4" l="1"/>
  <c r="N8" i="4"/>
  <c r="M6" i="12"/>
  <c r="B20" i="6"/>
  <c r="B23" i="6"/>
  <c r="I24" i="1" s="1"/>
  <c r="C17" i="1"/>
  <c r="A14" i="1" l="1"/>
  <c r="I13" i="1"/>
</calcChain>
</file>

<file path=xl/sharedStrings.xml><?xml version="1.0" encoding="utf-8"?>
<sst xmlns="http://schemas.openxmlformats.org/spreadsheetml/2006/main" count="395" uniqueCount="297">
  <si>
    <t>🎯  Virksomhedsdashboard</t>
  </si>
  <si>
    <t>📈  Nøgletal – Hele året</t>
  </si>
  <si>
    <t>🚦  Forretningsstatus</t>
  </si>
  <si>
    <t>Årsoms. (ekskl. moms)</t>
  </si>
  <si>
    <t>Årets resultat</t>
  </si>
  <si>
    <t>Positiv omsætning?</t>
  </si>
  <si>
    <t>Positivt resultat?</t>
  </si>
  <si>
    <t>EBITDA (år)</t>
  </si>
  <si>
    <t>Likviditet (dec. UB)</t>
  </si>
  <si>
    <t>Positiv likviditet?</t>
  </si>
  <si>
    <t>Over break-even?</t>
  </si>
  <si>
    <t>🔢  Økonominøgletal</t>
  </si>
  <si>
    <t>Samlet momstilsvar</t>
  </si>
  <si>
    <t>Break-even (månedlig)</t>
  </si>
  <si>
    <t>Moms afsat?</t>
  </si>
  <si>
    <t>Dækningsgrad (%)</t>
  </si>
  <si>
    <t>Est. selskabsskat</t>
  </si>
  <si>
    <t>💡  Hurtig indsigt</t>
  </si>
  <si>
    <t>Omsætningsvækst Jan→Dec</t>
  </si>
  <si>
    <t>📅  Månedsoverblik</t>
  </si>
  <si>
    <t>Bedste måned (resultat)</t>
  </si>
  <si>
    <t>Måned</t>
  </si>
  <si>
    <t>Omsætning</t>
  </si>
  <si>
    <t>Resultat</t>
  </si>
  <si>
    <t>Likviditet</t>
  </si>
  <si>
    <t>Jan</t>
  </si>
  <si>
    <t>Gns. månedlig omsætning</t>
  </si>
  <si>
    <t>Feb</t>
  </si>
  <si>
    <t>Mar</t>
  </si>
  <si>
    <t>Skatteestimering (år)</t>
  </si>
  <si>
    <t>Apr</t>
  </si>
  <si>
    <t>Maj</t>
  </si>
  <si>
    <t>Break-even enheder/md</t>
  </si>
  <si>
    <t>Jun</t>
  </si>
  <si>
    <t>Jul</t>
  </si>
  <si>
    <t>Aug</t>
  </si>
  <si>
    <t>Sep</t>
  </si>
  <si>
    <t>Okt</t>
  </si>
  <si>
    <t>Nov</t>
  </si>
  <si>
    <t>Dec</t>
  </si>
  <si>
    <t>Årssum</t>
  </si>
  <si>
    <t>🚀 Budgetskabelon til ny virksomhed</t>
  </si>
  <si>
    <t>📋  Virksomhedsoplysninger</t>
  </si>
  <si>
    <t>Virksomhedsnavn</t>
  </si>
  <si>
    <t>Din virksomhed ApS</t>
  </si>
  <si>
    <t>CVR-nummer</t>
  </si>
  <si>
    <t>12345678</t>
  </si>
  <si>
    <t>Budgetår</t>
  </si>
  <si>
    <t>Virksomhedstype</t>
  </si>
  <si>
    <t>ApS / Enkeltmand</t>
  </si>
  <si>
    <t>Momsregistreret?</t>
  </si>
  <si>
    <t>Ja</t>
  </si>
  <si>
    <t>💰  Omsætningsantagelser</t>
  </si>
  <si>
    <t>Forventet månedlig omsætning (kr.)</t>
  </si>
  <si>
    <t>Forventet vækst pr. måned (%)</t>
  </si>
  <si>
    <t>Gennemsnitlig momssats (%)</t>
  </si>
  <si>
    <t>Debitordage (betalingsfrist)</t>
  </si>
  <si>
    <t>📦  Omkostningsantagelser</t>
  </si>
  <si>
    <t>Vareforbrug (% af omsætning)</t>
  </si>
  <si>
    <t>Lønomkostninger pr. måned (kr.)</t>
  </si>
  <si>
    <t>Husleje / kontorhold pr. måned (kr.)</t>
  </si>
  <si>
    <t>Øvrige faste omkostninger pr. måned</t>
  </si>
  <si>
    <t>Startsomkostninger (engangs) (kr.)</t>
  </si>
  <si>
    <t>🏦  Finansieringsantagelser</t>
  </si>
  <si>
    <t>Startkapital / egenkapital (kr.)</t>
  </si>
  <si>
    <t>Lån (kr.)</t>
  </si>
  <si>
    <t>Rentesats på lån (%)</t>
  </si>
  <si>
    <t>ℹ️  Vejledning</t>
  </si>
  <si>
    <t>Udfyld alle gule celler herover. Tallene opdateres automatisk i fanerne: Budget, Moms og Likviditet.</t>
  </si>
  <si>
    <t>🏛️  Skatteindstillinger</t>
  </si>
  <si>
    <t>Virksomhedsform til skat</t>
  </si>
  <si>
    <t>ApS</t>
  </si>
  <si>
    <t>Selskabsskattesats (%)</t>
  </si>
  <si>
    <t>Personlig skattesats – udbytte (%)</t>
  </si>
  <si>
    <t>Befordringsfradrag (km/dag)</t>
  </si>
  <si>
    <t>Befordringssats (kr./km)</t>
  </si>
  <si>
    <t>📐  Break-even indstillinger</t>
  </si>
  <si>
    <t>Gennemsnitlig salgspris pr. enhed (kr.)</t>
  </si>
  <si>
    <t>Variable omkostninger pr. enhed (kr.)</t>
  </si>
  <si>
    <t>Udfyld alle gule celler. Fanerne opdateres automatisk: Budget · Moms · Likviditet · Skat · Break-even</t>
  </si>
  <si>
    <t>📊 Resultatbudget</t>
  </si>
  <si>
    <t>Alle tal ekskl. moms  •  Blå = input fra Antagelser  •  Sort = formler</t>
  </si>
  <si>
    <t>Post</t>
  </si>
  <si>
    <t>Omsætning (ekskl. moms)</t>
  </si>
  <si>
    <t xml:space="preserve">  Vareforbrug</t>
  </si>
  <si>
    <t>Dækningsbidrag</t>
  </si>
  <si>
    <t>Faste omkostninger:</t>
  </si>
  <si>
    <t xml:space="preserve">  Lønomkostninger</t>
  </si>
  <si>
    <t xml:space="preserve">  Husleje / kontorhold</t>
  </si>
  <si>
    <t xml:space="preserve">  Øvrige faste omk.</t>
  </si>
  <si>
    <t>EBITDA</t>
  </si>
  <si>
    <t xml:space="preserve">  Renteomkostninger</t>
  </si>
  <si>
    <t>🧾 Momsopgørelse</t>
  </si>
  <si>
    <t>Salgsmoms – Købsmoms = Momstilsvar (betales til SKAT kvartalsvist)</t>
  </si>
  <si>
    <t>Salgsmoms (25%)</t>
  </si>
  <si>
    <t>Varekøb (ekskl. moms)</t>
  </si>
  <si>
    <t>Købsmoms (25% af varekøb)</t>
  </si>
  <si>
    <t>Momstilsvar (betales til SKAT)</t>
  </si>
  <si>
    <t>📅  Kvartalsoversigt (momsbetaling til SKAT)</t>
  </si>
  <si>
    <t>Q1 (Jan-Mar)</t>
  </si>
  <si>
    <t>Q2 (Apr-Jun)</t>
  </si>
  <si>
    <t>Q3 (Jul-Sep)</t>
  </si>
  <si>
    <t>Q4 (Okt-Dec)</t>
  </si>
  <si>
    <t>💧 Likviditetsbudget</t>
  </si>
  <si>
    <t>Viser faktisk pengestrøm — hvornår penge kommer ind og går ud af kontoen</t>
  </si>
  <si>
    <t>Indgående saldo (IB)</t>
  </si>
  <si>
    <t xml:space="preserve">  Indbetalinger (inkl. moms)</t>
  </si>
  <si>
    <t xml:space="preserve">  Lønudbetalinger</t>
  </si>
  <si>
    <t xml:space="preserve">  Varekøb inkl. moms</t>
  </si>
  <si>
    <t xml:space="preserve">  Faste omk. (husleje + øvrige)</t>
  </si>
  <si>
    <t>Udgående saldo (UB)</t>
  </si>
  <si>
    <t>⚠️  Negativ saldo (rød) = likviditetsproblem. Overvej kassekredit, udskydelse af udgifter eller fremrykning af indbetalinger.</t>
  </si>
  <si>
    <t>🏛️ Skatteberegner</t>
  </si>
  <si>
    <t>Estimeret skattebetaling for ApS og selvstændige  •  Ikke juridisk rådgivning</t>
  </si>
  <si>
    <t>Beløb (kr.)</t>
  </si>
  <si>
    <t>Skattesats</t>
  </si>
  <si>
    <t>Skattebeløb</t>
  </si>
  <si>
    <t>🏢  ApS – Selskabsskat</t>
  </si>
  <si>
    <t>Årets resultat (fra Resultatbudget)</t>
  </si>
  <si>
    <t>Resultat efter selskabsskat</t>
  </si>
  <si>
    <t>💸  Udbyttebeskatning (hvis du tager udbytte ud af ApS)</t>
  </si>
  <si>
    <t>Ønsket udbytte (kr.)</t>
  </si>
  <si>
    <t>Udbytteskat (27% op til 58.900 kr., 42% derover)</t>
  </si>
  <si>
    <t>Nettoudbytte efter skat</t>
  </si>
  <si>
    <t>🚗  Befordringsfradrag (kørsel til/fra arbejde)</t>
  </si>
  <si>
    <t>Arbejdsdage pr. år</t>
  </si>
  <si>
    <t>Km pr. dag (fra Antagelser)</t>
  </si>
  <si>
    <t>Sats pr. km (fra Antagelser)</t>
  </si>
  <si>
    <t>Samlet befordringsfradrag</t>
  </si>
  <si>
    <t>📋  Samlet skatteestimering</t>
  </si>
  <si>
    <t>Selskabsskat</t>
  </si>
  <si>
    <t>Udbytteskat</t>
  </si>
  <si>
    <t>Befordringsfradrag (reducerer personlig skat)</t>
  </si>
  <si>
    <t>Samlet estimeret skattebetaling</t>
  </si>
  <si>
    <t>⚠️ Dette er et estimat. Kontakt en revisor for præcis skatteberegning. Regler kan ændre sig.</t>
  </si>
  <si>
    <t>📐 Break-even Analyse</t>
  </si>
  <si>
    <t>Hvor mange enheder / kroner skal du sælge for at dække alle omkostninger?</t>
  </si>
  <si>
    <t>📥  Inputdata (hentes automatisk fra Antagelser)</t>
  </si>
  <si>
    <t>Salgspris pr. enhed (kr.)</t>
  </si>
  <si>
    <t>Variable omk. pr. enhed (kr.)</t>
  </si>
  <si>
    <t>Dækningsbidrag pr. enhed (kr.)</t>
  </si>
  <si>
    <t>📦  Faste omkostninger (månedligt / årligt)</t>
  </si>
  <si>
    <t>Månedligt</t>
  </si>
  <si>
    <t>Årligt</t>
  </si>
  <si>
    <t>Lønomkostninger</t>
  </si>
  <si>
    <t>Husleje / kontorhold</t>
  </si>
  <si>
    <t>Øvrige faste omk.</t>
  </si>
  <si>
    <t>Renteomkostninger</t>
  </si>
  <si>
    <t>Samlede faste omk.</t>
  </si>
  <si>
    <t>🎯  Break-even Resultater</t>
  </si>
  <si>
    <t>Beregning</t>
  </si>
  <si>
    <t>Forklaring</t>
  </si>
  <si>
    <t>Break-even enheder</t>
  </si>
  <si>
    <t>Antal enheder du skal sælge for at gå i nul</t>
  </si>
  <si>
    <t>Break-even omsætning</t>
  </si>
  <si>
    <t>Omsætning der skal til for at dække alle omk.</t>
  </si>
  <si>
    <t>Sikkerhedsmargen (månedlig)</t>
  </si>
  <si>
    <t>Hvor langt du er over break-even</t>
  </si>
  <si>
    <t>Sikkerhedsmargen (%)</t>
  </si>
  <si>
    <t>Jo højere, jo mere robust er din forretning</t>
  </si>
  <si>
    <t>Estimerede måneder til break-even</t>
  </si>
  <si>
    <t>Baseret på startsomkostninger og månedligt resultat</t>
  </si>
  <si>
    <t>BREAK-EVEN OMSÆTNING (MÅNEDLIGT)</t>
  </si>
  <si>
    <t>📊  Følsomhedsanalyse – Break-even enheder ved forskellig pris</t>
  </si>
  <si>
    <t>300 kr.</t>
  </si>
  <si>
    <t>400 kr.</t>
  </si>
  <si>
    <t>500 kr.</t>
  </si>
  <si>
    <t>600 kr.</t>
  </si>
  <si>
    <t>700 kr.</t>
  </si>
  <si>
    <t>800 kr.</t>
  </si>
  <si>
    <t>← Justér salgspris i Antagelser</t>
  </si>
  <si>
    <t>Antal enheder pr. måned</t>
  </si>
  <si>
    <t>💼 Lønberegner</t>
  </si>
  <si>
    <t>Beregn brutto→netto løn, AM-bidrag, A-skat og feriepenge for én eller flere medarbejdere</t>
  </si>
  <si>
    <t>👤  Medarbejderoplysninger</t>
  </si>
  <si>
    <t>Medarbejder 1</t>
  </si>
  <si>
    <t>Medarbejder 2</t>
  </si>
  <si>
    <t>Medarbejder 3</t>
  </si>
  <si>
    <t>Medarbejder 4</t>
  </si>
  <si>
    <t>Navn / stilling</t>
  </si>
  <si>
    <t>Bruttoløn pr. måned (kr.)</t>
  </si>
  <si>
    <t>Trækprocent (fra skattekort)</t>
  </si>
  <si>
    <t>Personfradrag (kr./år, 2026: 46.600)</t>
  </si>
  <si>
    <t>🧮  Beregninger pr. måned</t>
  </si>
  <si>
    <t>AM-bidrag (8% af bruttoløn)</t>
  </si>
  <si>
    <t>AM-bidrag grundlag (92%)</t>
  </si>
  <si>
    <t>Månedligt personfradrag</t>
  </si>
  <si>
    <t>Beskatningsgrundlag</t>
  </si>
  <si>
    <t>A-skat</t>
  </si>
  <si>
    <t>Nettoudbetaling</t>
  </si>
  <si>
    <t>Arbejdsgivers ATP (370,35 kr.)</t>
  </si>
  <si>
    <t>Samlet lønomkostning for arb.giver</t>
  </si>
  <si>
    <t>🏖️  Feriepenge (12,5% af bruttoløn)</t>
  </si>
  <si>
    <t>Feriepenge pr. måned (12,5%)</t>
  </si>
  <si>
    <t>Feriepenge pr. år</t>
  </si>
  <si>
    <t>📊  Totaler – alle medarbejdere</t>
  </si>
  <si>
    <t>Samlet bruttoløn pr. md.</t>
  </si>
  <si>
    <t>Samlet nettoudbetaling</t>
  </si>
  <si>
    <t>Samlet AM-bidrag</t>
  </si>
  <si>
    <t>Samlet A-skat</t>
  </si>
  <si>
    <t>Samlede feriepenge pr. md.</t>
  </si>
  <si>
    <t>Samlet lønomkostning/md.</t>
  </si>
  <si>
    <t>Samlet lønomkostning/år</t>
  </si>
  <si>
    <t>⚠️  Beregningerne er vejledende. Kontakt lønadministrator eller SKAT for præcise opgørelser. Trækprocent hentes fra medarbejderens skattekort.</t>
  </si>
  <si>
    <t>📈 Investeringsberegner</t>
  </si>
  <si>
    <t>ROI, tilbagebetalingstid og nettonutidsværdi for op til 3 investeringer side om side</t>
  </si>
  <si>
    <t>💰  Investeringsdetaljer</t>
  </si>
  <si>
    <t>Investering A</t>
  </si>
  <si>
    <t>Investering B</t>
  </si>
  <si>
    <t>Investering C</t>
  </si>
  <si>
    <t>Investeringsnavn</t>
  </si>
  <si>
    <t>Nyt udstyr</t>
  </si>
  <si>
    <t>Marketing</t>
  </si>
  <si>
    <t>Software</t>
  </si>
  <si>
    <t>Investeringsbeløb (kr.)</t>
  </si>
  <si>
    <t>Forventet årlig indtægt</t>
  </si>
  <si>
    <t>Forventet årlig besparelse</t>
  </si>
  <si>
    <t>Løbende årsomk. (kr.)</t>
  </si>
  <si>
    <t>Kalkulationsrente (%)</t>
  </si>
  <si>
    <t>Investeringshorisont (år)</t>
  </si>
  <si>
    <t>📊  Beregninger</t>
  </si>
  <si>
    <t>Netto årlig gevinst</t>
  </si>
  <si>
    <t>Simpel ROI (%)</t>
  </si>
  <si>
    <t>Tilbagebetalingstid (år)</t>
  </si>
  <si>
    <t>Samlet gevinst (periode)</t>
  </si>
  <si>
    <t>Nettogevinst (efter inv.)</t>
  </si>
  <si>
    <t>🔢  Nettonutidsværdi (NPV) – 5-årig kontantstrøm</t>
  </si>
  <si>
    <t>År</t>
  </si>
  <si>
    <t>År 1</t>
  </si>
  <si>
    <t>År 2</t>
  </si>
  <si>
    <t>År 3</t>
  </si>
  <si>
    <t>År 4</t>
  </si>
  <si>
    <t>År 5</t>
  </si>
  <si>
    <t>NPV (sum af diskonterede CF - investering)</t>
  </si>
  <si>
    <t>🏆  Anbefaling</t>
  </si>
  <si>
    <t>📥 Debitorstyring</t>
  </si>
  <si>
    <t>Hold styr på hvem der skylder dig penge – og hvornår det forfalder</t>
  </si>
  <si>
    <t>📋  Udestående fakturaer</t>
  </si>
  <si>
    <t>#</t>
  </si>
  <si>
    <t>Kunde</t>
  </si>
  <si>
    <t>Faktura nr.</t>
  </si>
  <si>
    <t>Forfaldsdato</t>
  </si>
  <si>
    <t>Dage til/siden forfald</t>
  </si>
  <si>
    <t>Status</t>
  </si>
  <si>
    <t>Prioritet</t>
  </si>
  <si>
    <t>Kunde A</t>
  </si>
  <si>
    <t>F-2026-001</t>
  </si>
  <si>
    <t>2026-04-15</t>
  </si>
  <si>
    <t>Kunde B</t>
  </si>
  <si>
    <t>F-2026-002</t>
  </si>
  <si>
    <t>2026-03-28</t>
  </si>
  <si>
    <t>Kunde C</t>
  </si>
  <si>
    <t>F-2026-003</t>
  </si>
  <si>
    <t>2026-04-30</t>
  </si>
  <si>
    <t>Kunde D</t>
  </si>
  <si>
    <t>F-2026-004</t>
  </si>
  <si>
    <t>2026-03-15</t>
  </si>
  <si>
    <t>Kunde E</t>
  </si>
  <si>
    <t>F-2026-005</t>
  </si>
  <si>
    <t>2026-05-10</t>
  </si>
  <si>
    <t>📊  Opsummering</t>
  </si>
  <si>
    <t>Samlet udestående</t>
  </si>
  <si>
    <t>Kritiske (&gt;30 dage over)</t>
  </si>
  <si>
    <t>Forfaldne (ikke kritiske)</t>
  </si>
  <si>
    <t>Ikke forfaldne endnu</t>
  </si>
  <si>
    <t>Antal udestående fakturaer</t>
  </si>
  <si>
    <t>📤 Kreditorstyring</t>
  </si>
  <si>
    <t>Hold styr på hvem du skylder penge – undgå rykkergebyrer og bevar gode leverandørforhold</t>
  </si>
  <si>
    <t>📋  Udestående betalinger</t>
  </si>
  <si>
    <t>Leverandør</t>
  </si>
  <si>
    <t>Dage til forfald</t>
  </si>
  <si>
    <t>Kategori</t>
  </si>
  <si>
    <t>e-conomic</t>
  </si>
  <si>
    <t>INV-001</t>
  </si>
  <si>
    <t>Regnskab</t>
  </si>
  <si>
    <t>Kontorforsyning A/S</t>
  </si>
  <si>
    <t>INV-002</t>
  </si>
  <si>
    <t>2026-04-20</t>
  </si>
  <si>
    <t>Kontor</t>
  </si>
  <si>
    <t>Teleselskab</t>
  </si>
  <si>
    <t>INV-003</t>
  </si>
  <si>
    <t>2026-04-28</t>
  </si>
  <si>
    <t>Telefoni</t>
  </si>
  <si>
    <t>Forsikring</t>
  </si>
  <si>
    <t>INV-004</t>
  </si>
  <si>
    <t>2026-05-01</t>
  </si>
  <si>
    <t>Revisor</t>
  </si>
  <si>
    <t>INV-005</t>
  </si>
  <si>
    <t>2026-05-15</t>
  </si>
  <si>
    <t>Rådgivning</t>
  </si>
  <si>
    <t>Samlet skyldigt beløb</t>
  </si>
  <si>
    <t>Forfaldne (betal nu!)</t>
  </si>
  <si>
    <t>Forfalder inden for 7 dage</t>
  </si>
  <si>
    <t>Forfalder om mere end 7 dage</t>
  </si>
  <si>
    <t>Faste omk.</t>
  </si>
  <si>
    <t>Momstilsvar</t>
  </si>
  <si>
    <t>Lavet af DriftHub.dk  •  Udfyld de gule celler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</si>
</sst>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&quot; kr.&quot;;\(#,##0&quot; kr.)&quot;;\-"/>
    <numFmt numFmtId="165" formatCode="0.0%;\(0.0%\);\-"/>
    <numFmt numFmtId="166" formatCode="0.0%"/>
    <numFmt numFmtId="167" formatCode="#,##0.00&quot; kr.&quot;"/>
    <numFmt numFmtId="168" formatCode="0&quot; km&quot;"/>
    <numFmt numFmtId="169" formatCode="0&quot; stk.&quot;"/>
    <numFmt numFmtId="170" formatCode="0&quot; mdr.&quot;"/>
    <numFmt numFmtId="171" formatCode="0&quot; år&quot;"/>
    <numFmt numFmtId="172" formatCode="0.0&quot; år&quot;"/>
    <numFmt numFmtId="173" formatCode="dd\-mm\-yyyy"/>
    <numFmt numFmtId="174" formatCode="0&quot; dage&quot;"/>
  </numFmts>
  <fonts count="21" x14ac:knownFonts="1">
    <font>
      <sz val="11"/>
      <color theme="1"/>
      <name val="Calibri"/>
      <family val="2"/>
      <charset val="1"/>
    </font>
    <font>
      <b/>
      <sz val="18"/>
      <color rgb="FFFFFFFF"/>
      <name val="Arial"/>
      <family val="2"/>
    </font>
    <font>
      <i/>
      <sz val="10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404040"/>
      <name val="Arial"/>
      <family val="2"/>
    </font>
    <font>
      <b/>
      <sz val="10"/>
      <color rgb="FF000000"/>
      <name val="Arial"/>
      <family val="2"/>
    </font>
    <font>
      <b/>
      <sz val="14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  <font>
      <b/>
      <sz val="16"/>
      <color rgb="FFFFFFFF"/>
      <name val="Arial"/>
      <family val="2"/>
    </font>
    <font>
      <sz val="10"/>
      <color rgb="FF0000FF"/>
      <name val="Arial"/>
      <family val="2"/>
    </font>
    <font>
      <sz val="9"/>
      <color rgb="FF404040"/>
      <name val="Arial"/>
      <family val="2"/>
    </font>
    <font>
      <i/>
      <sz val="9"/>
      <color rgb="FF404040"/>
      <name val="Arial"/>
      <family val="2"/>
    </font>
    <font>
      <b/>
      <sz val="10"/>
      <color rgb="FF375623"/>
      <name val="Arial"/>
      <family val="2"/>
    </font>
    <font>
      <b/>
      <sz val="9"/>
      <color rgb="FF7B3F00"/>
      <name val="Arial"/>
      <family val="2"/>
    </font>
    <font>
      <sz val="9"/>
      <color rgb="FF808080"/>
      <name val="Arial"/>
      <family val="2"/>
    </font>
    <font>
      <b/>
      <sz val="15"/>
      <color rgb="FFFFFFFF"/>
      <name val="Arial"/>
      <family val="2"/>
    </font>
    <font>
      <sz val="9"/>
      <color rgb="FF7B3F00"/>
      <name val="Arial"/>
      <family val="2"/>
    </font>
    <font>
      <b/>
      <sz val="11"/>
      <color rgb="FF1F3864"/>
      <name val="Arial"/>
      <family val="2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1F4E79"/>
      </patternFill>
    </fill>
    <fill>
      <patternFill patternType="solid">
        <fgColor rgb="FF2E5FA3"/>
        <bgColor rgb="FF1F4E79"/>
      </patternFill>
    </fill>
    <fill>
      <patternFill patternType="solid">
        <fgColor rgb="FFF2F2F2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D6E4F0"/>
        <bgColor rgb="FFD9D9D9"/>
      </patternFill>
    </fill>
    <fill>
      <patternFill patternType="solid">
        <fgColor rgb="FFFFF2CC"/>
        <bgColor rgb="FFFDEBD0"/>
      </patternFill>
    </fill>
    <fill>
      <patternFill patternType="solid">
        <fgColor rgb="FFE2EFDA"/>
        <bgColor rgb="FFF2F2F2"/>
      </patternFill>
    </fill>
    <fill>
      <patternFill patternType="solid">
        <fgColor rgb="FFFDEBD0"/>
        <bgColor rgb="FFFFF2CC"/>
      </patternFill>
    </fill>
    <fill>
      <patternFill patternType="solid">
        <fgColor rgb="FFFFCCCC"/>
        <bgColor rgb="FFD9D9D9"/>
      </patternFill>
    </fill>
  </fills>
  <borders count="3">
    <border>
      <left/>
      <right/>
      <top/>
      <bottom/>
      <diagonal/>
    </border>
    <border>
      <left style="thin">
        <color rgb="FFB8CCE4"/>
      </left>
      <right/>
      <top style="thin">
        <color rgb="FFB8CCE4"/>
      </top>
      <bottom style="thin">
        <color rgb="FFB8CCE4"/>
      </bottom>
      <diagonal/>
    </border>
    <border>
      <left style="thin">
        <color rgb="FFB8CCE4"/>
      </left>
      <right style="thin">
        <color rgb="FFB8CCE4"/>
      </right>
      <top style="thin">
        <color rgb="FFB8CCE4"/>
      </top>
      <bottom style="thin">
        <color rgb="FFB8CCE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12" fillId="6" borderId="0" xfId="0" applyFont="1" applyFill="1" applyAlignment="1">
      <alignment vertical="center" wrapText="1" indent="1"/>
    </xf>
    <xf numFmtId="0" fontId="3" fillId="3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inden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66" fontId="6" fillId="6" borderId="2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 indent="1"/>
    </xf>
    <xf numFmtId="164" fontId="9" fillId="6" borderId="2" xfId="0" applyNumberFormat="1" applyFont="1" applyFill="1" applyBorder="1" applyAlignment="1">
      <alignment horizontal="right" vertical="center"/>
    </xf>
    <xf numFmtId="164" fontId="6" fillId="6" borderId="2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vertical="center" indent="1"/>
    </xf>
    <xf numFmtId="164" fontId="9" fillId="5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left" vertical="center" indent="1"/>
    </xf>
    <xf numFmtId="164" fontId="3" fillId="2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 indent="1"/>
    </xf>
    <xf numFmtId="0" fontId="11" fillId="7" borderId="2" xfId="0" applyFont="1" applyFill="1" applyBorder="1" applyAlignment="1">
      <alignment horizontal="left" vertical="center" indent="1"/>
    </xf>
    <xf numFmtId="164" fontId="11" fillId="7" borderId="2" xfId="0" applyNumberFormat="1" applyFont="1" applyFill="1" applyBorder="1" applyAlignment="1">
      <alignment horizontal="left" vertical="center" indent="1"/>
    </xf>
    <xf numFmtId="165" fontId="11" fillId="7" borderId="2" xfId="0" applyNumberFormat="1" applyFont="1" applyFill="1" applyBorder="1" applyAlignment="1">
      <alignment horizontal="left" vertical="center" indent="1"/>
    </xf>
    <xf numFmtId="0" fontId="9" fillId="4" borderId="2" xfId="0" applyFont="1" applyFill="1" applyBorder="1" applyAlignment="1">
      <alignment vertical="center" indent="1"/>
    </xf>
    <xf numFmtId="167" fontId="11" fillId="7" borderId="2" xfId="0" applyNumberFormat="1" applyFont="1" applyFill="1" applyBorder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2" xfId="0" applyFont="1" applyFill="1" applyBorder="1" applyAlignment="1">
      <alignment horizontal="center" vertical="center"/>
    </xf>
    <xf numFmtId="164" fontId="6" fillId="6" borderId="2" xfId="0" applyNumberFormat="1" applyFont="1" applyFill="1" applyBorder="1"/>
    <xf numFmtId="0" fontId="9" fillId="5" borderId="2" xfId="0" applyFont="1" applyFill="1" applyBorder="1" applyAlignment="1">
      <alignment vertical="center" indent="1"/>
    </xf>
    <xf numFmtId="164" fontId="9" fillId="5" borderId="2" xfId="0" applyNumberFormat="1" applyFont="1" applyFill="1" applyBorder="1"/>
    <xf numFmtId="164" fontId="6" fillId="8" borderId="2" xfId="0" applyNumberFormat="1" applyFont="1" applyFill="1" applyBorder="1"/>
    <xf numFmtId="0" fontId="6" fillId="8" borderId="2" xfId="0" applyFont="1" applyFill="1" applyBorder="1" applyAlignment="1">
      <alignment vertical="center" indent="1"/>
    </xf>
    <xf numFmtId="0" fontId="6" fillId="4" borderId="2" xfId="0" applyFont="1" applyFill="1" applyBorder="1" applyAlignment="1">
      <alignment vertical="center" indent="1"/>
    </xf>
    <xf numFmtId="0" fontId="6" fillId="3" borderId="2" xfId="0" applyFont="1" applyFill="1" applyBorder="1" applyAlignment="1">
      <alignment vertical="center" indent="1"/>
    </xf>
    <xf numFmtId="164" fontId="3" fillId="3" borderId="2" xfId="0" applyNumberFormat="1" applyFont="1" applyFill="1" applyBorder="1"/>
    <xf numFmtId="164" fontId="3" fillId="2" borderId="2" xfId="0" applyNumberFormat="1" applyFont="1" applyFill="1" applyBorder="1"/>
    <xf numFmtId="0" fontId="6" fillId="2" borderId="2" xfId="0" applyFont="1" applyFill="1" applyBorder="1" applyAlignment="1">
      <alignment vertical="center" indent="1"/>
    </xf>
    <xf numFmtId="0" fontId="9" fillId="6" borderId="2" xfId="0" applyFont="1" applyFill="1" applyBorder="1" applyAlignment="1">
      <alignment vertical="center" indent="1"/>
    </xf>
    <xf numFmtId="164" fontId="9" fillId="6" borderId="2" xfId="0" applyNumberFormat="1" applyFont="1" applyFill="1" applyBorder="1"/>
    <xf numFmtId="164" fontId="14" fillId="8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9" fillId="8" borderId="2" xfId="0" applyFont="1" applyFill="1" applyBorder="1" applyAlignment="1">
      <alignment vertical="center" indent="1"/>
    </xf>
    <xf numFmtId="164" fontId="9" fillId="8" borderId="2" xfId="0" applyNumberFormat="1" applyFont="1" applyFill="1" applyBorder="1"/>
    <xf numFmtId="0" fontId="3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right" vertical="center"/>
    </xf>
    <xf numFmtId="164" fontId="6" fillId="8" borderId="2" xfId="0" applyNumberFormat="1" applyFont="1" applyFill="1" applyBorder="1" applyAlignment="1">
      <alignment horizontal="right" vertical="center"/>
    </xf>
    <xf numFmtId="0" fontId="0" fillId="8" borderId="2" xfId="0" applyFill="1" applyBorder="1"/>
    <xf numFmtId="168" fontId="9" fillId="5" borderId="2" xfId="0" applyNumberFormat="1" applyFont="1" applyFill="1" applyBorder="1" applyAlignment="1">
      <alignment horizontal="right" vertical="center"/>
    </xf>
    <xf numFmtId="167" fontId="9" fillId="5" borderId="2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165" fontId="6" fillId="8" borderId="2" xfId="0" applyNumberFormat="1" applyFont="1" applyFill="1" applyBorder="1" applyAlignment="1">
      <alignment horizontal="right" vertical="center"/>
    </xf>
    <xf numFmtId="169" fontId="6" fillId="5" borderId="2" xfId="0" applyNumberFormat="1" applyFont="1" applyFill="1" applyBorder="1" applyAlignment="1">
      <alignment horizontal="right" vertical="center"/>
    </xf>
    <xf numFmtId="0" fontId="12" fillId="5" borderId="2" xfId="0" applyFont="1" applyFill="1" applyBorder="1" applyAlignment="1">
      <alignment vertical="center" wrapText="1" indent="1"/>
    </xf>
    <xf numFmtId="164" fontId="6" fillId="5" borderId="2" xfId="0" applyNumberFormat="1" applyFont="1" applyFill="1" applyBorder="1" applyAlignment="1">
      <alignment horizontal="right" vertical="center"/>
    </xf>
    <xf numFmtId="165" fontId="6" fillId="5" borderId="2" xfId="0" applyNumberFormat="1" applyFont="1" applyFill="1" applyBorder="1" applyAlignment="1">
      <alignment horizontal="right" vertical="center"/>
    </xf>
    <xf numFmtId="170" fontId="6" fillId="5" borderId="2" xfId="0" applyNumberFormat="1" applyFont="1" applyFill="1" applyBorder="1" applyAlignment="1">
      <alignment horizontal="right" vertical="center"/>
    </xf>
    <xf numFmtId="0" fontId="16" fillId="0" borderId="0" xfId="0" applyFont="1"/>
    <xf numFmtId="169" fontId="6" fillId="6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0" fillId="5" borderId="2" xfId="0" applyFill="1" applyBorder="1"/>
    <xf numFmtId="49" fontId="11" fillId="7" borderId="2" xfId="0" applyNumberFormat="1" applyFont="1" applyFill="1" applyBorder="1" applyAlignment="1">
      <alignment horizontal="left" vertical="center" indent="1"/>
    </xf>
    <xf numFmtId="171" fontId="11" fillId="7" borderId="2" xfId="0" applyNumberFormat="1" applyFont="1" applyFill="1" applyBorder="1" applyAlignment="1">
      <alignment horizontal="left" vertical="center" indent="1"/>
    </xf>
    <xf numFmtId="172" fontId="6" fillId="8" borderId="2" xfId="0" applyNumberFormat="1" applyFont="1" applyFill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vertical="center" indent="1"/>
    </xf>
    <xf numFmtId="164" fontId="11" fillId="7" borderId="2" xfId="0" applyNumberFormat="1" applyFont="1" applyFill="1" applyBorder="1" applyAlignment="1">
      <alignment vertical="center" indent="1"/>
    </xf>
    <xf numFmtId="173" fontId="11" fillId="7" borderId="2" xfId="0" applyNumberFormat="1" applyFont="1" applyFill="1" applyBorder="1" applyAlignment="1">
      <alignment vertical="center" indent="1"/>
    </xf>
    <xf numFmtId="174" fontId="9" fillId="6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174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69" fontId="9" fillId="5" borderId="2" xfId="0" applyNumberFormat="1" applyFont="1" applyFill="1" applyBorder="1" applyAlignment="1">
      <alignment horizontal="right" vertical="center"/>
    </xf>
    <xf numFmtId="164" fontId="9" fillId="10" borderId="2" xfId="0" applyNumberFormat="1" applyFont="1" applyFill="1" applyBorder="1" applyAlignment="1">
      <alignment horizontal="right" vertical="center"/>
    </xf>
    <xf numFmtId="0" fontId="0" fillId="10" borderId="2" xfId="0" applyFill="1" applyBorder="1"/>
    <xf numFmtId="164" fontId="0" fillId="0" borderId="0" xfId="0" applyNumberFormat="1"/>
    <xf numFmtId="0" fontId="13" fillId="6" borderId="0" xfId="0" applyFont="1" applyFill="1" applyAlignment="1">
      <alignment horizontal="center" vertical="center"/>
    </xf>
    <xf numFmtId="0" fontId="15" fillId="9" borderId="0" xfId="0" applyFont="1" applyFill="1" applyAlignment="1">
      <alignment vertical="center" wrapText="1" indent="1"/>
    </xf>
    <xf numFmtId="0" fontId="17" fillId="2" borderId="0" xfId="0" applyFont="1" applyFill="1" applyAlignment="1">
      <alignment horizontal="center" vertical="center"/>
    </xf>
    <xf numFmtId="0" fontId="18" fillId="9" borderId="0" xfId="0" applyFont="1" applyFill="1" applyAlignment="1">
      <alignment vertical="center" wrapText="1" indent="1"/>
    </xf>
    <xf numFmtId="0" fontId="19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41E16"/>
      <rgbColor rgb="FF145A32"/>
      <rgbColor rgb="FF000080"/>
      <rgbColor rgb="FF808000"/>
      <rgbColor rgb="FF800080"/>
      <rgbColor rgb="FF1A5276"/>
      <rgbColor rgb="FFB3B3B3"/>
      <rgbColor rgb="FF808080"/>
      <rgbColor rgb="FF9999FF"/>
      <rgbColor rgb="FF7B3F00"/>
      <rgbColor rgb="FFFFF2CC"/>
      <rgbColor rgb="FFD6E4F0"/>
      <rgbColor rgb="FF4A235A"/>
      <rgbColor rgb="FFFF8080"/>
      <rgbColor rgb="FF2E5FA3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DEBD0"/>
      <rgbColor rgb="FFD9D9D9"/>
      <rgbColor rgb="FFFF99CC"/>
      <rgbColor rgb="FFCC99FF"/>
      <rgbColor rgb="FFFFCCCC"/>
      <rgbColor rgb="FF3366FF"/>
      <rgbColor rgb="FF33CCCC"/>
      <rgbColor rgb="FF99CC00"/>
      <rgbColor rgb="FFF4B942"/>
      <rgbColor rgb="FFFF9900"/>
      <rgbColor rgb="FFFF6600"/>
      <rgbColor rgb="FF666699"/>
      <rgbColor rgb="FF70AD47"/>
      <rgbColor rgb="FF1F3864"/>
      <rgbColor rgb="FF339966"/>
      <rgbColor rgb="FF0B5345"/>
      <rgbColor rgb="FF375623"/>
      <rgbColor rgb="FF843C0C"/>
      <rgbColor rgb="FF993366"/>
      <rgbColor rgb="FF1F4E7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Omsætning vs. Resultat pr. måned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Omsætning</c:v>
          </c:tx>
          <c:spPr>
            <a:solidFill>
              <a:srgbClr val="2E5FA3"/>
            </a:solidFill>
            <a:ln w="9360">
              <a:solidFill>
                <a:srgbClr val="2E5FA3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_ChartData!$B$2:$M$2</c:f>
              <c:numCache>
                <c:formatCode>#,##0" kr.";\(#,##0" kr.)";\-</c:formatCode>
                <c:ptCount val="12"/>
                <c:pt idx="0">
                  <c:v>50000</c:v>
                </c:pt>
                <c:pt idx="1">
                  <c:v>51000</c:v>
                </c:pt>
                <c:pt idx="2">
                  <c:v>52020</c:v>
                </c:pt>
                <c:pt idx="3">
                  <c:v>53060.4</c:v>
                </c:pt>
                <c:pt idx="4">
                  <c:v>54121.608</c:v>
                </c:pt>
                <c:pt idx="5">
                  <c:v>55204.040160000004</c:v>
                </c:pt>
                <c:pt idx="6">
                  <c:v>56308.120963200003</c:v>
                </c:pt>
                <c:pt idx="7">
                  <c:v>57434.283382464004</c:v>
                </c:pt>
                <c:pt idx="8">
                  <c:v>58582.969050113286</c:v>
                </c:pt>
                <c:pt idx="9">
                  <c:v>59754.628431115554</c:v>
                </c:pt>
                <c:pt idx="10">
                  <c:v>60949.720999737867</c:v>
                </c:pt>
                <c:pt idx="11">
                  <c:v>62168.715419732624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5-4B44-86C5-52897CA9E49B}"/>
            </c:ext>
          </c:extLst>
        </c:ser>
        <c:ser>
          <c:idx val="1"/>
          <c:order val="1"/>
          <c:tx>
            <c:v>Resultat</c:v>
          </c:tx>
          <c:spPr>
            <a:solidFill>
              <a:srgbClr val="70AD47"/>
            </a:solidFill>
            <a:ln w="9360">
              <a:solidFill>
                <a:srgbClr val="70AD47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_ChartData!$B$3:$M$3</c:f>
              <c:numCache>
                <c:formatCode>#,##0" kr.";\(#,##0" kr.)";\-</c:formatCode>
                <c:ptCount val="12"/>
                <c:pt idx="0">
                  <c:v>2000</c:v>
                </c:pt>
                <c:pt idx="1">
                  <c:v>2700</c:v>
                </c:pt>
                <c:pt idx="2">
                  <c:v>3414</c:v>
                </c:pt>
                <c:pt idx="3">
                  <c:v>4142.2799999999988</c:v>
                </c:pt>
                <c:pt idx="4">
                  <c:v>4885.1255999999994</c:v>
                </c:pt>
                <c:pt idx="5">
                  <c:v>5642.8281120000029</c:v>
                </c:pt>
                <c:pt idx="6">
                  <c:v>6415.6846742400012</c:v>
                </c:pt>
                <c:pt idx="7">
                  <c:v>7203.9983677248019</c:v>
                </c:pt>
                <c:pt idx="8">
                  <c:v>8008.0783350793063</c:v>
                </c:pt>
                <c:pt idx="9">
                  <c:v>8828.239901780893</c:v>
                </c:pt>
                <c:pt idx="10">
                  <c:v>9664.8046998165082</c:v>
                </c:pt>
                <c:pt idx="11">
                  <c:v>10518.100793812839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5-4B44-86C5-52897CA9E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541985"/>
        <c:axId val="34904208"/>
      </c:barChart>
      <c:catAx>
        <c:axId val="6754198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4904208"/>
        <c:crosses val="autoZero"/>
        <c:auto val="1"/>
        <c:lblAlgn val="ctr"/>
        <c:lblOffset val="100"/>
        <c:noMultiLvlLbl val="0"/>
      </c:catAx>
      <c:valAx>
        <c:axId val="3490420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kr.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kr.&quot;;\(#,##0&quot; kr.)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75419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Likviditetsudvikling (kassebeholdning)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Kassebeholdning</c:v>
          </c:tx>
          <c:spPr>
            <a:ln w="28440">
              <a:solidFill>
                <a:srgbClr val="1F386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_ChartData!$B$4:$M$4</c:f>
              <c:numCache>
                <c:formatCode>#,##0" kr.";\(#,##0" kr.)";\-</c:formatCode>
                <c:ptCount val="12"/>
                <c:pt idx="0">
                  <c:v>90750</c:v>
                </c:pt>
                <c:pt idx="1">
                  <c:v>102375</c:v>
                </c:pt>
                <c:pt idx="2">
                  <c:v>114892.5</c:v>
                </c:pt>
                <c:pt idx="3">
                  <c:v>128320.35</c:v>
                </c:pt>
                <c:pt idx="4">
                  <c:v>142676.75699999998</c:v>
                </c:pt>
                <c:pt idx="5">
                  <c:v>157980.29213999998</c:v>
                </c:pt>
                <c:pt idx="6">
                  <c:v>174249.89798279997</c:v>
                </c:pt>
                <c:pt idx="7">
                  <c:v>191504.89594245597</c:v>
                </c:pt>
                <c:pt idx="8">
                  <c:v>209764.99386130512</c:v>
                </c:pt>
                <c:pt idx="9">
                  <c:v>229050.29373853121</c:v>
                </c:pt>
                <c:pt idx="10">
                  <c:v>249381.29961330182</c:v>
                </c:pt>
                <c:pt idx="11">
                  <c:v>270778.92560556787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257-49B8-9032-F46D5C4B9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6936497"/>
        <c:axId val="60291530"/>
      </c:lineChart>
      <c:catAx>
        <c:axId val="8693649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0291530"/>
        <c:crosses val="autoZero"/>
        <c:auto val="1"/>
        <c:lblAlgn val="ctr"/>
        <c:lblOffset val="100"/>
        <c:noMultiLvlLbl val="0"/>
      </c:catAx>
      <c:valAx>
        <c:axId val="602915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kr.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kr.&quot;;\(#,##0&quot; kr.)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693649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Omsætning vs. Faste omk. vs. Dækningsbidrag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Dækningsbidrag</c:v>
          </c:tx>
          <c:spPr>
            <a:solidFill>
              <a:srgbClr val="70AD47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_ChartData!$B$7:$M$7</c:f>
              <c:numCache>
                <c:formatCode>#,##0" kr.";\(#,##0" kr.)";\-</c:formatCode>
                <c:ptCount val="12"/>
                <c:pt idx="0">
                  <c:v>35000</c:v>
                </c:pt>
                <c:pt idx="1">
                  <c:v>35700</c:v>
                </c:pt>
                <c:pt idx="2">
                  <c:v>36414</c:v>
                </c:pt>
                <c:pt idx="3">
                  <c:v>37142.28</c:v>
                </c:pt>
                <c:pt idx="4">
                  <c:v>37885.125599999999</c:v>
                </c:pt>
                <c:pt idx="5">
                  <c:v>38642.828112000003</c:v>
                </c:pt>
                <c:pt idx="6">
                  <c:v>39415.684674240001</c:v>
                </c:pt>
                <c:pt idx="7">
                  <c:v>40203.998367724802</c:v>
                </c:pt>
                <c:pt idx="8">
                  <c:v>41008.078335079306</c:v>
                </c:pt>
                <c:pt idx="9">
                  <c:v>41828.239901780893</c:v>
                </c:pt>
                <c:pt idx="10">
                  <c:v>42664.804699816508</c:v>
                </c:pt>
                <c:pt idx="11">
                  <c:v>43518.100793812839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F-4D3F-8C44-9F20EC8ADBD9}"/>
            </c:ext>
          </c:extLst>
        </c:ser>
        <c:ser>
          <c:idx val="1"/>
          <c:order val="1"/>
          <c:tx>
            <c:v>Faste omk.</c:v>
          </c:tx>
          <c:spPr>
            <a:solidFill>
              <a:srgbClr val="FF000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_ChartData!$B$5:$M$5</c:f>
              <c:numCache>
                <c:formatCode>General</c:formatCode>
                <c:ptCount val="12"/>
                <c:pt idx="0">
                  <c:v>33000</c:v>
                </c:pt>
                <c:pt idx="1">
                  <c:v>33000</c:v>
                </c:pt>
                <c:pt idx="2">
                  <c:v>33000</c:v>
                </c:pt>
                <c:pt idx="3">
                  <c:v>33000</c:v>
                </c:pt>
                <c:pt idx="4">
                  <c:v>33000</c:v>
                </c:pt>
                <c:pt idx="5">
                  <c:v>33000</c:v>
                </c:pt>
                <c:pt idx="6">
                  <c:v>33000</c:v>
                </c:pt>
                <c:pt idx="7">
                  <c:v>33000</c:v>
                </c:pt>
                <c:pt idx="8">
                  <c:v>33000</c:v>
                </c:pt>
                <c:pt idx="9">
                  <c:v>33000</c:v>
                </c:pt>
                <c:pt idx="10">
                  <c:v>33000</c:v>
                </c:pt>
                <c:pt idx="11">
                  <c:v>33000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0F-4D3F-8C44-9F20EC8AD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63053"/>
        <c:axId val="12986448"/>
      </c:barChart>
      <c:catAx>
        <c:axId val="2676305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2986448"/>
        <c:crosses val="autoZero"/>
        <c:auto val="1"/>
        <c:lblAlgn val="ctr"/>
        <c:lblOffset val="100"/>
        <c:noMultiLvlLbl val="0"/>
      </c:catAx>
      <c:valAx>
        <c:axId val="12986448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kr.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676305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Månedligt momstilsvar (betales til SKAT)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Momstilsvar</c:v>
          </c:tx>
          <c:spPr>
            <a:ln w="28440">
              <a:solidFill>
                <a:srgbClr val="F4B942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_ChartData!$B$1:$M$1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_ChartData!$B$6:$M$6</c:f>
              <c:numCache>
                <c:formatCode>#,##0" kr.";\(#,##0" kr.)";\-</c:formatCode>
                <c:ptCount val="12"/>
                <c:pt idx="0">
                  <c:v>8750</c:v>
                </c:pt>
                <c:pt idx="1">
                  <c:v>8925</c:v>
                </c:pt>
                <c:pt idx="2">
                  <c:v>9103.5</c:v>
                </c:pt>
                <c:pt idx="3">
                  <c:v>9285.57</c:v>
                </c:pt>
                <c:pt idx="4">
                  <c:v>9471.2813999999998</c:v>
                </c:pt>
                <c:pt idx="5">
                  <c:v>9660.7070280000007</c:v>
                </c:pt>
                <c:pt idx="6">
                  <c:v>9853.9211685600003</c:v>
                </c:pt>
                <c:pt idx="7">
                  <c:v>10050.9995919312</c:v>
                </c:pt>
                <c:pt idx="8">
                  <c:v>10252.019583769827</c:v>
                </c:pt>
                <c:pt idx="9">
                  <c:v>10457.059975445223</c:v>
                </c:pt>
                <c:pt idx="10">
                  <c:v>10666.201174954127</c:v>
                </c:pt>
                <c:pt idx="11">
                  <c:v>10879.52519845321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A3-4D1A-98F2-B8AFC9AC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0681661"/>
        <c:axId val="54831175"/>
      </c:lineChart>
      <c:catAx>
        <c:axId val="406816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831175"/>
        <c:crosses val="autoZero"/>
        <c:auto val="1"/>
        <c:lblAlgn val="ctr"/>
        <c:lblOffset val="100"/>
        <c:noMultiLvlLbl val="0"/>
      </c:catAx>
      <c:valAx>
        <c:axId val="5483117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kr.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kr.&quot;;\(#,##0&quot; kr.)&quot;;\-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068166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6</xdr:col>
      <xdr:colOff>699480</xdr:colOff>
      <xdr:row>55</xdr:row>
      <xdr:rowOff>149400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35</xdr:row>
      <xdr:rowOff>0</xdr:rowOff>
    </xdr:from>
    <xdr:to>
      <xdr:col>11</xdr:col>
      <xdr:colOff>621495</xdr:colOff>
      <xdr:row>55</xdr:row>
      <xdr:rowOff>149400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54</xdr:row>
      <xdr:rowOff>0</xdr:rowOff>
    </xdr:from>
    <xdr:to>
      <xdr:col>6</xdr:col>
      <xdr:colOff>699480</xdr:colOff>
      <xdr:row>74</xdr:row>
      <xdr:rowOff>149400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54</xdr:row>
      <xdr:rowOff>0</xdr:rowOff>
    </xdr:from>
    <xdr:to>
      <xdr:col>11</xdr:col>
      <xdr:colOff>621495</xdr:colOff>
      <xdr:row>74</xdr:row>
      <xdr:rowOff>149400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L34"/>
  <sheetViews>
    <sheetView zoomScaleNormal="100" workbookViewId="0">
      <pane ySplit="2" topLeftCell="A3" activePane="bottomLeft" state="frozen"/>
      <selection sqref="A1:XFD1048576"/>
      <selection pane="bottomLeft" sqref="A1:XFD1048576"/>
    </sheetView>
  </sheetViews>
  <sheetFormatPr defaultColWidth="8.7109375" defaultRowHeight="15" x14ac:dyDescent="0.25"/>
  <cols>
    <col min="1" max="1" width="22" customWidth="1"/>
    <col min="2" max="4" width="12" customWidth="1"/>
    <col min="5" max="5" width="2" customWidth="1"/>
    <col min="6" max="6" width="22" customWidth="1"/>
    <col min="7" max="8" width="12" customWidth="1"/>
    <col min="9" max="9" width="16.7109375" bestFit="1" customWidth="1"/>
    <col min="10" max="10" width="2" customWidth="1"/>
    <col min="11" max="11" width="18" customWidth="1"/>
    <col min="12" max="12" width="12" customWidth="1"/>
  </cols>
  <sheetData>
    <row r="1" spans="1:12" ht="23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5">
      <c r="A2" s="13" t="str">
        <f>'⚙️ Antagelser'!B5&amp;"  •  Budgetår "&amp;TEXT('⚙️ Antagelser'!B7,"0")&amp;"  •  Opdateret automatisk fra alle faner"</f>
        <v>Din virksomhed ApS  •  Budgetår 2026  •  Opdateret automatisk fra alle faner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x14ac:dyDescent="0.25">
      <c r="A4" s="12" t="s">
        <v>1</v>
      </c>
      <c r="B4" s="12"/>
      <c r="C4" s="12"/>
      <c r="D4" s="12"/>
      <c r="F4" s="12" t="s">
        <v>2</v>
      </c>
      <c r="G4" s="12"/>
      <c r="H4" s="12"/>
      <c r="I4" s="12"/>
    </row>
    <row r="5" spans="1:12" x14ac:dyDescent="0.25">
      <c r="A5" s="11" t="s">
        <v>3</v>
      </c>
      <c r="B5" s="11"/>
      <c r="C5" s="10" t="s">
        <v>4</v>
      </c>
      <c r="D5" s="10"/>
      <c r="F5" s="9" t="s">
        <v>5</v>
      </c>
      <c r="G5" s="9"/>
      <c r="H5" s="9"/>
      <c r="I5" s="15" t="str">
        <f>IF('📊 Resultatbudget'!N4&gt;0,"✅ Ja","❌ Nej")</f>
        <v>✅ Ja</v>
      </c>
    </row>
    <row r="6" spans="1:12" ht="18" x14ac:dyDescent="0.25">
      <c r="A6" s="8">
        <f>'📊 Resultatbudget'!N4</f>
        <v>670604.48640636331</v>
      </c>
      <c r="B6" s="8"/>
      <c r="C6" s="7">
        <f>'📊 Resultatbudget'!N13</f>
        <v>73423.140484454343</v>
      </c>
      <c r="D6" s="7"/>
    </row>
    <row r="7" spans="1:12" x14ac:dyDescent="0.25">
      <c r="F7" s="9" t="s">
        <v>6</v>
      </c>
      <c r="G7" s="9"/>
      <c r="H7" s="9"/>
      <c r="I7" s="15" t="str">
        <f>IF('📊 Resultatbudget'!N13&gt;0,"✅ Ja","❌ Nej")</f>
        <v>✅ Ja</v>
      </c>
    </row>
    <row r="8" spans="1:12" x14ac:dyDescent="0.25">
      <c r="A8" s="11" t="s">
        <v>7</v>
      </c>
      <c r="B8" s="11"/>
      <c r="C8" s="10" t="s">
        <v>8</v>
      </c>
      <c r="D8" s="10"/>
    </row>
    <row r="9" spans="1:12" ht="18" x14ac:dyDescent="0.25">
      <c r="A9" s="8">
        <f>'📊 Resultatbudget'!N11</f>
        <v>73423.140484454343</v>
      </c>
      <c r="B9" s="8"/>
      <c r="C9" s="7">
        <f>'💧 Likviditet'!M9</f>
        <v>270778.92560556787</v>
      </c>
      <c r="D9" s="7"/>
      <c r="F9" s="9" t="s">
        <v>9</v>
      </c>
      <c r="G9" s="9"/>
      <c r="H9" s="9"/>
      <c r="I9" s="15" t="str">
        <f>IF('💧 Likviditet'!M9&gt;0,"✅ Ja","❌ Nej")</f>
        <v>✅ Ja</v>
      </c>
    </row>
    <row r="11" spans="1:12" x14ac:dyDescent="0.25">
      <c r="F11" s="9" t="s">
        <v>10</v>
      </c>
      <c r="G11" s="9"/>
      <c r="H11" s="9"/>
      <c r="I11" s="15" t="str">
        <f>IF('📊 Resultatbudget'!B4&gt;'📐 Break-even'!B20,"✅ Ja","❌ Nej")</f>
        <v>✅ Ja</v>
      </c>
    </row>
    <row r="12" spans="1:12" x14ac:dyDescent="0.25">
      <c r="A12" s="12" t="s">
        <v>11</v>
      </c>
      <c r="B12" s="12"/>
      <c r="C12" s="12"/>
      <c r="D12" s="12"/>
    </row>
    <row r="13" spans="1:12" x14ac:dyDescent="0.25">
      <c r="A13" s="11" t="s">
        <v>12</v>
      </c>
      <c r="B13" s="11"/>
      <c r="C13" s="10" t="s">
        <v>13</v>
      </c>
      <c r="D13" s="10"/>
      <c r="F13" s="9" t="s">
        <v>14</v>
      </c>
      <c r="G13" s="9"/>
      <c r="H13" s="9"/>
      <c r="I13" s="15" t="str">
        <f>IF('🧾 Momsopgørelse'!N8&gt;0,"✅ Husk betaling","⚠️ Check")</f>
        <v>✅ Husk betaling</v>
      </c>
    </row>
    <row r="14" spans="1:12" ht="18" x14ac:dyDescent="0.25">
      <c r="A14" s="8">
        <f>'🧾 Momsopgørelse'!N8</f>
        <v>117355.7851211136</v>
      </c>
      <c r="B14" s="8"/>
      <c r="C14" s="7">
        <f>'📐 Break-even'!B20</f>
        <v>47142.857142857145</v>
      </c>
      <c r="D14" s="7"/>
    </row>
    <row r="16" spans="1:12" x14ac:dyDescent="0.25">
      <c r="A16" s="11" t="s">
        <v>15</v>
      </c>
      <c r="B16" s="11"/>
      <c r="C16" s="10" t="s">
        <v>16</v>
      </c>
      <c r="D16" s="10"/>
    </row>
    <row r="17" spans="1:9" ht="18" x14ac:dyDescent="0.25">
      <c r="A17" s="6">
        <f>'📐 Break-even'!B7</f>
        <v>0.7</v>
      </c>
      <c r="B17" s="6"/>
      <c r="C17" s="7">
        <f>'🏛️ Skatteberegner'!D5</f>
        <v>16153.090906579955</v>
      </c>
      <c r="D17" s="7"/>
      <c r="F17" s="12" t="s">
        <v>17</v>
      </c>
      <c r="G17" s="12"/>
      <c r="H17" s="12"/>
      <c r="I17" s="12"/>
    </row>
    <row r="18" spans="1:9" x14ac:dyDescent="0.25">
      <c r="F18" s="9" t="s">
        <v>18</v>
      </c>
      <c r="G18" s="9"/>
      <c r="H18" s="9"/>
      <c r="I18" s="16" t="str">
        <f>IFERROR(TEXT(('📊 Resultatbudget'!M4-'📊 Resultatbudget'!B4)/'📊 Resultatbudget'!B4,"0.0%"),"-")</f>
        <v>24.3%</v>
      </c>
    </row>
    <row r="20" spans="1:9" x14ac:dyDescent="0.25">
      <c r="A20" s="12" t="s">
        <v>19</v>
      </c>
      <c r="B20" s="12"/>
      <c r="C20" s="12"/>
      <c r="D20" s="12"/>
      <c r="F20" s="9" t="s">
        <v>20</v>
      </c>
      <c r="G20" s="9"/>
      <c r="H20" s="9"/>
      <c r="I20" s="17" t="str">
        <f>IFERROR(INDEX({"Jan","Feb","Mar","Apr","Maj","Jun","Jul","Aug","Sep","Okt","Nov","Dec"},MATCH(MAX('📊 Resultatbudget'!B13:M13),'📊 Resultatbudget'!B13:M13,0)),"-")</f>
        <v>Dec</v>
      </c>
    </row>
    <row r="21" spans="1:9" x14ac:dyDescent="0.25">
      <c r="A21" s="18" t="s">
        <v>21</v>
      </c>
      <c r="B21" s="19" t="s">
        <v>22</v>
      </c>
      <c r="C21" s="19" t="s">
        <v>23</v>
      </c>
      <c r="D21" s="19" t="s">
        <v>24</v>
      </c>
    </row>
    <row r="22" spans="1:9" x14ac:dyDescent="0.25">
      <c r="A22" s="20" t="s">
        <v>25</v>
      </c>
      <c r="B22" s="21">
        <f>'📊 Resultatbudget'!B4</f>
        <v>50000</v>
      </c>
      <c r="C22" s="21">
        <f>'📊 Resultatbudget'!B13</f>
        <v>2000</v>
      </c>
      <c r="D22" s="21">
        <f>'💧 Likviditet'!B9</f>
        <v>90750</v>
      </c>
      <c r="F22" s="9" t="s">
        <v>26</v>
      </c>
      <c r="G22" s="9"/>
      <c r="H22" s="9"/>
      <c r="I22" s="22">
        <f>IFERROR('📊 Resultatbudget'!N4/12,0)</f>
        <v>55883.707200530276</v>
      </c>
    </row>
    <row r="23" spans="1:9" x14ac:dyDescent="0.25">
      <c r="A23" s="23" t="s">
        <v>27</v>
      </c>
      <c r="B23" s="24">
        <f>'📊 Resultatbudget'!C4</f>
        <v>51000</v>
      </c>
      <c r="C23" s="24">
        <f>'📊 Resultatbudget'!C13</f>
        <v>2700</v>
      </c>
      <c r="D23" s="24">
        <f>'💧 Likviditet'!C9</f>
        <v>102375</v>
      </c>
    </row>
    <row r="24" spans="1:9" x14ac:dyDescent="0.25">
      <c r="A24" s="20" t="s">
        <v>28</v>
      </c>
      <c r="B24" s="21">
        <f>'📊 Resultatbudget'!D4</f>
        <v>52020</v>
      </c>
      <c r="C24" s="21">
        <f>'📊 Resultatbudget'!D13</f>
        <v>3414</v>
      </c>
      <c r="D24" s="21">
        <f>'💧 Likviditet'!D9</f>
        <v>114892.5</v>
      </c>
      <c r="F24" s="9" t="s">
        <v>29</v>
      </c>
      <c r="G24" s="9"/>
      <c r="H24" s="9"/>
      <c r="I24" s="22">
        <f>'🏛️ Skatteberegner'!B23</f>
        <v>43153.090906579957</v>
      </c>
    </row>
    <row r="25" spans="1:9" x14ac:dyDescent="0.25">
      <c r="A25" s="23" t="s">
        <v>30</v>
      </c>
      <c r="B25" s="24">
        <f>'📊 Resultatbudget'!E4</f>
        <v>53060.4</v>
      </c>
      <c r="C25" s="24">
        <f>'📊 Resultatbudget'!E13</f>
        <v>4142.2799999999988</v>
      </c>
      <c r="D25" s="24">
        <f>'💧 Likviditet'!E9</f>
        <v>128320.35</v>
      </c>
    </row>
    <row r="26" spans="1:9" x14ac:dyDescent="0.25">
      <c r="A26" s="20" t="s">
        <v>31</v>
      </c>
      <c r="B26" s="21">
        <f>'📊 Resultatbudget'!F4</f>
        <v>54121.608</v>
      </c>
      <c r="C26" s="21">
        <f>'📊 Resultatbudget'!F13</f>
        <v>4885.1255999999994</v>
      </c>
      <c r="D26" s="21">
        <f>'💧 Likviditet'!F9</f>
        <v>142676.75699999998</v>
      </c>
      <c r="F26" s="9" t="s">
        <v>32</v>
      </c>
      <c r="G26" s="9"/>
      <c r="H26" s="9"/>
      <c r="I26" s="22">
        <f>'📐 Break-even'!B19</f>
        <v>95</v>
      </c>
    </row>
    <row r="27" spans="1:9" x14ac:dyDescent="0.25">
      <c r="A27" s="23" t="s">
        <v>33</v>
      </c>
      <c r="B27" s="24">
        <f>'📊 Resultatbudget'!G4</f>
        <v>55204.040160000004</v>
      </c>
      <c r="C27" s="24">
        <f>'📊 Resultatbudget'!G13</f>
        <v>5642.8281120000029</v>
      </c>
      <c r="D27" s="24">
        <f>'💧 Likviditet'!G9</f>
        <v>157980.29213999998</v>
      </c>
    </row>
    <row r="28" spans="1:9" x14ac:dyDescent="0.25">
      <c r="A28" s="20" t="s">
        <v>34</v>
      </c>
      <c r="B28" s="21">
        <f>'📊 Resultatbudget'!H4</f>
        <v>56308.120963200003</v>
      </c>
      <c r="C28" s="21">
        <f>'📊 Resultatbudget'!H13</f>
        <v>6415.6846742400012</v>
      </c>
      <c r="D28" s="21">
        <f>'💧 Likviditet'!H9</f>
        <v>174249.89798279997</v>
      </c>
    </row>
    <row r="29" spans="1:9" x14ac:dyDescent="0.25">
      <c r="A29" s="23" t="s">
        <v>35</v>
      </c>
      <c r="B29" s="24">
        <f>'📊 Resultatbudget'!I4</f>
        <v>57434.283382464004</v>
      </c>
      <c r="C29" s="24">
        <f>'📊 Resultatbudget'!I13</f>
        <v>7203.9983677248019</v>
      </c>
      <c r="D29" s="24">
        <f>'💧 Likviditet'!I9</f>
        <v>191504.89594245597</v>
      </c>
    </row>
    <row r="30" spans="1:9" x14ac:dyDescent="0.25">
      <c r="A30" s="20" t="s">
        <v>36</v>
      </c>
      <c r="B30" s="21">
        <f>'📊 Resultatbudget'!J4</f>
        <v>58582.969050113286</v>
      </c>
      <c r="C30" s="21">
        <f>'📊 Resultatbudget'!J13</f>
        <v>8008.0783350793063</v>
      </c>
      <c r="D30" s="21">
        <f>'💧 Likviditet'!J9</f>
        <v>209764.99386130512</v>
      </c>
    </row>
    <row r="31" spans="1:9" x14ac:dyDescent="0.25">
      <c r="A31" s="23" t="s">
        <v>37</v>
      </c>
      <c r="B31" s="24">
        <f>'📊 Resultatbudget'!K4</f>
        <v>59754.628431115554</v>
      </c>
      <c r="C31" s="24">
        <f>'📊 Resultatbudget'!K13</f>
        <v>8828.239901780893</v>
      </c>
      <c r="D31" s="24">
        <f>'💧 Likviditet'!K9</f>
        <v>229050.29373853121</v>
      </c>
    </row>
    <row r="32" spans="1:9" x14ac:dyDescent="0.25">
      <c r="A32" s="20" t="s">
        <v>38</v>
      </c>
      <c r="B32" s="21">
        <f>'📊 Resultatbudget'!L4</f>
        <v>60949.720999737867</v>
      </c>
      <c r="C32" s="21">
        <f>'📊 Resultatbudget'!L13</f>
        <v>9664.8046998165082</v>
      </c>
      <c r="D32" s="21">
        <f>'💧 Likviditet'!L9</f>
        <v>249381.29961330182</v>
      </c>
    </row>
    <row r="33" spans="1:4" x14ac:dyDescent="0.25">
      <c r="A33" s="23" t="s">
        <v>39</v>
      </c>
      <c r="B33" s="24">
        <f>'📊 Resultatbudget'!M4</f>
        <v>62168.715419732624</v>
      </c>
      <c r="C33" s="24">
        <f>'📊 Resultatbudget'!M13</f>
        <v>10518.100793812839</v>
      </c>
      <c r="D33" s="24">
        <f>'💧 Likviditet'!M9</f>
        <v>270778.92560556787</v>
      </c>
    </row>
    <row r="34" spans="1:4" x14ac:dyDescent="0.25">
      <c r="A34" s="25" t="s">
        <v>40</v>
      </c>
      <c r="B34" s="26">
        <f>'📊 Resultatbudget'!N4</f>
        <v>670604.48640636331</v>
      </c>
      <c r="C34" s="26">
        <f>'📊 Resultatbudget'!N13</f>
        <v>73423.140484454343</v>
      </c>
      <c r="D34" s="26"/>
    </row>
  </sheetData>
  <mergeCells count="33">
    <mergeCell ref="F26:H26"/>
    <mergeCell ref="F18:H18"/>
    <mergeCell ref="A20:D20"/>
    <mergeCell ref="F20:H20"/>
    <mergeCell ref="F22:H22"/>
    <mergeCell ref="F24:H24"/>
    <mergeCell ref="A16:B16"/>
    <mergeCell ref="C16:D16"/>
    <mergeCell ref="A17:B17"/>
    <mergeCell ref="C17:D17"/>
    <mergeCell ref="F17:I17"/>
    <mergeCell ref="A13:B13"/>
    <mergeCell ref="C13:D13"/>
    <mergeCell ref="F13:H13"/>
    <mergeCell ref="A14:B14"/>
    <mergeCell ref="C14:D14"/>
    <mergeCell ref="A9:B9"/>
    <mergeCell ref="C9:D9"/>
    <mergeCell ref="F9:H9"/>
    <mergeCell ref="F11:H11"/>
    <mergeCell ref="A12:D12"/>
    <mergeCell ref="A6:B6"/>
    <mergeCell ref="C6:D6"/>
    <mergeCell ref="F7:H7"/>
    <mergeCell ref="A8:B8"/>
    <mergeCell ref="C8:D8"/>
    <mergeCell ref="A1:L1"/>
    <mergeCell ref="A2:L2"/>
    <mergeCell ref="A4:D4"/>
    <mergeCell ref="F4:I4"/>
    <mergeCell ref="A5:B5"/>
    <mergeCell ref="C5:D5"/>
    <mergeCell ref="F5:H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B5345"/>
  </sheetPr>
  <dimension ref="A1:H22"/>
  <sheetViews>
    <sheetView zoomScaleNormal="100" workbookViewId="0">
      <selection activeCell="A4" sqref="A4:XFD4"/>
    </sheetView>
  </sheetViews>
  <sheetFormatPr defaultColWidth="8.7109375" defaultRowHeight="14.25" customHeight="1" x14ac:dyDescent="0.25"/>
  <cols>
    <col min="1" max="1" width="24.85546875" bestFit="1" customWidth="1"/>
    <col min="2" max="2" width="9.42578125" bestFit="1" customWidth="1"/>
    <col min="3" max="3" width="11.5703125" bestFit="1" customWidth="1"/>
    <col min="4" max="4" width="10.5703125" bestFit="1" customWidth="1"/>
    <col min="5" max="5" width="11.42578125" bestFit="1" customWidth="1"/>
    <col min="6" max="6" width="17.85546875" bestFit="1" customWidth="1"/>
    <col min="7" max="7" width="15.140625" bestFit="1" customWidth="1"/>
    <col min="8" max="8" width="10.140625" bestFit="1" customWidth="1"/>
  </cols>
  <sheetData>
    <row r="1" spans="1:8" ht="14.25" customHeight="1" x14ac:dyDescent="0.25">
      <c r="A1" s="87" t="s">
        <v>235</v>
      </c>
      <c r="B1" s="87"/>
      <c r="C1" s="87"/>
      <c r="D1" s="87"/>
      <c r="E1" s="87"/>
      <c r="F1" s="87"/>
    </row>
    <row r="2" spans="1:8" ht="14.25" customHeight="1" x14ac:dyDescent="0.25">
      <c r="A2" s="85" t="s">
        <v>236</v>
      </c>
      <c r="B2" s="85"/>
      <c r="C2" s="85"/>
      <c r="D2" s="85"/>
      <c r="E2" s="85"/>
      <c r="F2" s="85"/>
    </row>
    <row r="3" spans="1:8" ht="14.25" customHeight="1" x14ac:dyDescent="0.25">
      <c r="A3" s="2" t="s">
        <v>237</v>
      </c>
      <c r="B3" s="2"/>
      <c r="C3" s="2"/>
      <c r="D3" s="2"/>
      <c r="E3" s="2"/>
      <c r="F3" s="2"/>
      <c r="G3" s="2"/>
      <c r="H3" s="2"/>
    </row>
    <row r="4" spans="1:8" ht="14.25" customHeight="1" x14ac:dyDescent="0.25">
      <c r="A4" s="18" t="s">
        <v>238</v>
      </c>
      <c r="B4" s="19" t="s">
        <v>239</v>
      </c>
      <c r="C4" s="19" t="s">
        <v>240</v>
      </c>
      <c r="D4" s="19" t="s">
        <v>114</v>
      </c>
      <c r="E4" s="19" t="s">
        <v>241</v>
      </c>
      <c r="F4" s="19" t="s">
        <v>242</v>
      </c>
      <c r="G4" s="19" t="s">
        <v>243</v>
      </c>
      <c r="H4" s="19" t="s">
        <v>244</v>
      </c>
    </row>
    <row r="5" spans="1:8" ht="14.25" customHeight="1" x14ac:dyDescent="0.25">
      <c r="A5" s="72">
        <v>1</v>
      </c>
      <c r="B5" s="73" t="s">
        <v>245</v>
      </c>
      <c r="C5" s="73" t="s">
        <v>246</v>
      </c>
      <c r="D5" s="74">
        <v>15000</v>
      </c>
      <c r="E5" s="75" t="s">
        <v>247</v>
      </c>
      <c r="F5" s="76">
        <f ca="1">IFERROR(IF(E5="","",E5-TODAY()),"")</f>
        <v>8</v>
      </c>
      <c r="G5" s="77" t="str">
        <f ca="1">IFERROR(IF(E5="","",IF(F5&lt;-30,"🔴 Kritisk",IF(F5&lt;0,"🟠 Forfalden",IF(F5=0,"🟡 Forfalder i dag","🟢 Ikke forfalden")))),"")</f>
        <v>🟢 Ikke forfalden</v>
      </c>
      <c r="H5" s="77" t="str">
        <f>IFERROR(IF(D5="","",IF(D5&gt;15000,"⭐ Høj",IF(D5&gt;7500,"➡️ Mellem","⬇️ Lav"))),"")</f>
        <v>➡️ Mellem</v>
      </c>
    </row>
    <row r="6" spans="1:8" ht="14.25" customHeight="1" x14ac:dyDescent="0.25">
      <c r="A6" s="78">
        <v>2</v>
      </c>
      <c r="B6" s="73" t="s">
        <v>248</v>
      </c>
      <c r="C6" s="73" t="s">
        <v>249</v>
      </c>
      <c r="D6" s="74">
        <v>8500</v>
      </c>
      <c r="E6" s="75" t="s">
        <v>250</v>
      </c>
      <c r="F6" s="79">
        <f ca="1">IFERROR(IF(E6="","",E6-TODAY()),"")</f>
        <v>-10</v>
      </c>
      <c r="G6" s="80" t="str">
        <f ca="1">IFERROR(IF(E6="","",IF(F6&lt;-30,"🔴 Kritisk",IF(F6&lt;0,"🟠 Forfalden",IF(F6=0,"🟡 Forfalder i dag","🟢 Ikke forfalden")))),"")</f>
        <v>🟠 Forfalden</v>
      </c>
      <c r="H6" s="80" t="str">
        <f>IFERROR(IF(D6="","",IF(D6&gt;15000,"⭐ Høj",IF(D6&gt;7500,"➡️ Mellem","⬇️ Lav"))),"")</f>
        <v>➡️ Mellem</v>
      </c>
    </row>
    <row r="7" spans="1:8" ht="14.25" customHeight="1" x14ac:dyDescent="0.25">
      <c r="A7" s="72">
        <v>3</v>
      </c>
      <c r="B7" s="73" t="s">
        <v>251</v>
      </c>
      <c r="C7" s="73" t="s">
        <v>252</v>
      </c>
      <c r="D7" s="74">
        <v>22000</v>
      </c>
      <c r="E7" s="75" t="s">
        <v>253</v>
      </c>
      <c r="F7" s="76">
        <f ca="1">IFERROR(IF(E7="","",E7-TODAY()),"")</f>
        <v>23</v>
      </c>
      <c r="G7" s="77" t="str">
        <f ca="1">IFERROR(IF(E7="","",IF(F7&lt;-30,"🔴 Kritisk",IF(F7&lt;0,"🟠 Forfalden",IF(F7=0,"🟡 Forfalder i dag","🟢 Ikke forfalden")))),"")</f>
        <v>🟢 Ikke forfalden</v>
      </c>
      <c r="H7" s="77" t="str">
        <f>IFERROR(IF(D7="","",IF(D7&gt;15000,"⭐ Høj",IF(D7&gt;7500,"➡️ Mellem","⬇️ Lav"))),"")</f>
        <v>⭐ Høj</v>
      </c>
    </row>
    <row r="8" spans="1:8" ht="14.25" customHeight="1" x14ac:dyDescent="0.25">
      <c r="A8" s="78">
        <v>4</v>
      </c>
      <c r="B8" s="73" t="s">
        <v>254</v>
      </c>
      <c r="C8" s="73" t="s">
        <v>255</v>
      </c>
      <c r="D8" s="74">
        <v>5000</v>
      </c>
      <c r="E8" s="75" t="s">
        <v>256</v>
      </c>
      <c r="F8" s="79">
        <f ca="1">IFERROR(IF(E8="","",E8-TODAY()),"")</f>
        <v>-23</v>
      </c>
      <c r="G8" s="80" t="str">
        <f ca="1">IFERROR(IF(E8="","",IF(F8&lt;-30,"🔴 Kritisk",IF(F8&lt;0,"🟠 Forfalden",IF(F8=0,"🟡 Forfalder i dag","🟢 Ikke forfalden")))),"")</f>
        <v>🟠 Forfalden</v>
      </c>
      <c r="H8" s="80" t="str">
        <f>IFERROR(IF(D8="","",IF(D8&gt;15000,"⭐ Høj",IF(D8&gt;7500,"➡️ Mellem","⬇️ Lav"))),"")</f>
        <v>⬇️ Lav</v>
      </c>
    </row>
    <row r="9" spans="1:8" ht="14.25" customHeight="1" x14ac:dyDescent="0.25">
      <c r="A9" s="72">
        <v>5</v>
      </c>
      <c r="B9" s="73" t="s">
        <v>257</v>
      </c>
      <c r="C9" s="73" t="s">
        <v>258</v>
      </c>
      <c r="D9" s="74">
        <v>11500</v>
      </c>
      <c r="E9" s="75" t="s">
        <v>259</v>
      </c>
      <c r="F9" s="76">
        <f ca="1">IFERROR(IF(E9="","",E9-TODAY()),"")</f>
        <v>33</v>
      </c>
      <c r="G9" s="77" t="str">
        <f ca="1">IFERROR(IF(E9="","",IF(F9&lt;-30,"🔴 Kritisk",IF(F9&lt;0,"🟠 Forfalden",IF(F9=0,"🟡 Forfalder i dag","🟢 Ikke forfalden")))),"")</f>
        <v>🟢 Ikke forfalden</v>
      </c>
      <c r="H9" s="77" t="str">
        <f>IFERROR(IF(D9="","",IF(D9&gt;15000,"⭐ Høj",IF(D9&gt;7500,"➡️ Mellem","⬇️ Lav"))),"")</f>
        <v>➡️ Mellem</v>
      </c>
    </row>
    <row r="10" spans="1:8" ht="14.25" customHeight="1" x14ac:dyDescent="0.25">
      <c r="A10" s="78"/>
      <c r="B10" s="36"/>
      <c r="C10" s="36"/>
      <c r="D10" s="36"/>
      <c r="E10" s="36"/>
      <c r="F10" s="79"/>
      <c r="G10" s="80"/>
      <c r="H10" s="80"/>
    </row>
    <row r="11" spans="1:8" ht="14.25" customHeight="1" x14ac:dyDescent="0.25">
      <c r="A11" s="72"/>
      <c r="B11" s="45"/>
      <c r="C11" s="45"/>
      <c r="D11" s="45"/>
      <c r="E11" s="45"/>
      <c r="F11" s="76"/>
      <c r="G11" s="77"/>
      <c r="H11" s="77"/>
    </row>
    <row r="12" spans="1:8" ht="14.25" customHeight="1" x14ac:dyDescent="0.25">
      <c r="A12" s="78"/>
      <c r="B12" s="36"/>
      <c r="C12" s="36"/>
      <c r="D12" s="36"/>
      <c r="E12" s="36"/>
      <c r="F12" s="79"/>
      <c r="G12" s="80"/>
      <c r="H12" s="80"/>
    </row>
    <row r="13" spans="1:8" ht="14.25" customHeight="1" x14ac:dyDescent="0.25">
      <c r="A13" s="72"/>
      <c r="B13" s="45"/>
      <c r="C13" s="45"/>
      <c r="D13" s="45"/>
      <c r="E13" s="45"/>
      <c r="F13" s="76"/>
      <c r="G13" s="77"/>
      <c r="H13" s="77"/>
    </row>
    <row r="14" spans="1:8" ht="14.25" customHeight="1" x14ac:dyDescent="0.25">
      <c r="A14" s="78"/>
      <c r="B14" s="36"/>
      <c r="C14" s="36"/>
      <c r="D14" s="36"/>
      <c r="E14" s="36"/>
      <c r="F14" s="79"/>
      <c r="G14" s="80"/>
      <c r="H14" s="80"/>
    </row>
    <row r="17" spans="1:8" ht="14.25" customHeight="1" x14ac:dyDescent="0.25">
      <c r="A17" s="2" t="s">
        <v>260</v>
      </c>
      <c r="B17" s="2"/>
      <c r="C17" s="2"/>
      <c r="D17" s="2"/>
      <c r="E17" s="2"/>
      <c r="F17" s="2"/>
      <c r="G17" s="2"/>
      <c r="H17" s="2"/>
    </row>
    <row r="18" spans="1:8" ht="14.25" customHeight="1" x14ac:dyDescent="0.25">
      <c r="A18" s="20" t="s">
        <v>261</v>
      </c>
      <c r="B18" s="54">
        <f ca="1">SUMIF(G5:G14,"*",D5:D14)</f>
        <v>62000</v>
      </c>
      <c r="C18" s="55"/>
      <c r="D18" s="55"/>
      <c r="E18" s="55"/>
      <c r="F18" s="55"/>
      <c r="G18" s="55"/>
      <c r="H18" s="55"/>
    </row>
    <row r="19" spans="1:8" ht="14.25" customHeight="1" x14ac:dyDescent="0.25">
      <c r="A19" s="31" t="s">
        <v>262</v>
      </c>
      <c r="B19" s="24">
        <f ca="1">SUMIF(F5:F14,"&lt;-30",D5:D14)</f>
        <v>0</v>
      </c>
      <c r="C19" s="68"/>
      <c r="D19" s="68"/>
      <c r="E19" s="68"/>
      <c r="F19" s="68"/>
      <c r="G19" s="68"/>
      <c r="H19" s="68"/>
    </row>
    <row r="20" spans="1:8" ht="14.25" customHeight="1" x14ac:dyDescent="0.25">
      <c r="A20" s="31" t="s">
        <v>263</v>
      </c>
      <c r="B20" s="24">
        <f ca="1">SUMIFS(D5:D14,F5:F14,"&lt;0",F5:F14,"&gt;=-30")</f>
        <v>13500</v>
      </c>
      <c r="C20" s="68"/>
      <c r="D20" s="68"/>
      <c r="E20" s="68"/>
      <c r="F20" s="68"/>
      <c r="G20" s="68"/>
      <c r="H20" s="68"/>
    </row>
    <row r="21" spans="1:8" ht="14.25" customHeight="1" x14ac:dyDescent="0.25">
      <c r="A21" s="31" t="s">
        <v>264</v>
      </c>
      <c r="B21" s="24">
        <f ca="1">SUMIF(F5:F14,"&gt;0",D5:D14)</f>
        <v>48500</v>
      </c>
      <c r="C21" s="68"/>
      <c r="D21" s="68"/>
      <c r="E21" s="68"/>
      <c r="F21" s="68"/>
      <c r="G21" s="68"/>
      <c r="H21" s="68"/>
    </row>
    <row r="22" spans="1:8" ht="14.25" customHeight="1" x14ac:dyDescent="0.25">
      <c r="A22" s="31" t="s">
        <v>265</v>
      </c>
      <c r="B22" s="81">
        <f>COUNTIF(D5:D14,"&gt;0")</f>
        <v>5</v>
      </c>
      <c r="C22" s="68"/>
      <c r="D22" s="68"/>
      <c r="E22" s="68"/>
      <c r="F22" s="68"/>
      <c r="G22" s="68"/>
      <c r="H22" s="68"/>
    </row>
  </sheetData>
  <mergeCells count="4">
    <mergeCell ref="A1:F1"/>
    <mergeCell ref="A2:F2"/>
    <mergeCell ref="A3:H3"/>
    <mergeCell ref="A17:H17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41E16"/>
  </sheetPr>
  <dimension ref="A1:H22"/>
  <sheetViews>
    <sheetView zoomScaleNormal="100" workbookViewId="0">
      <selection sqref="A1:XFD1048576"/>
    </sheetView>
  </sheetViews>
  <sheetFormatPr defaultColWidth="27.7109375" defaultRowHeight="15" x14ac:dyDescent="0.25"/>
  <cols>
    <col min="1" max="1" width="27.5703125" bestFit="1" customWidth="1"/>
    <col min="2" max="2" width="19.140625" bestFit="1" customWidth="1"/>
    <col min="3" max="3" width="9.7109375" bestFit="1" customWidth="1"/>
    <col min="4" max="4" width="9.5703125" bestFit="1" customWidth="1"/>
    <col min="5" max="5" width="11.42578125" bestFit="1" customWidth="1"/>
    <col min="6" max="6" width="12.7109375" bestFit="1" customWidth="1"/>
    <col min="7" max="7" width="6.85546875" bestFit="1" customWidth="1"/>
    <col min="8" max="8" width="11.140625" bestFit="1" customWidth="1"/>
  </cols>
  <sheetData>
    <row r="1" spans="1:8" ht="19.5" x14ac:dyDescent="0.25">
      <c r="A1" s="87" t="s">
        <v>266</v>
      </c>
      <c r="B1" s="87"/>
      <c r="C1" s="87"/>
      <c r="D1" s="87"/>
      <c r="E1" s="87"/>
      <c r="F1" s="87"/>
    </row>
    <row r="2" spans="1:8" x14ac:dyDescent="0.25">
      <c r="A2" s="85" t="s">
        <v>267</v>
      </c>
      <c r="B2" s="85"/>
      <c r="C2" s="85"/>
      <c r="D2" s="85"/>
      <c r="E2" s="85"/>
      <c r="F2" s="85"/>
    </row>
    <row r="3" spans="1:8" x14ac:dyDescent="0.25">
      <c r="A3" s="2" t="s">
        <v>268</v>
      </c>
      <c r="B3" s="2"/>
      <c r="C3" s="2"/>
      <c r="D3" s="2"/>
      <c r="E3" s="2"/>
      <c r="F3" s="2"/>
      <c r="G3" s="2"/>
      <c r="H3" s="2"/>
    </row>
    <row r="4" spans="1:8" x14ac:dyDescent="0.25">
      <c r="A4" s="18" t="s">
        <v>238</v>
      </c>
      <c r="B4" s="19" t="s">
        <v>269</v>
      </c>
      <c r="C4" s="19" t="s">
        <v>240</v>
      </c>
      <c r="D4" s="19" t="s">
        <v>114</v>
      </c>
      <c r="E4" s="19" t="s">
        <v>241</v>
      </c>
      <c r="F4" s="19" t="s">
        <v>270</v>
      </c>
      <c r="G4" s="19" t="s">
        <v>243</v>
      </c>
      <c r="H4" s="19" t="s">
        <v>271</v>
      </c>
    </row>
    <row r="5" spans="1:8" x14ac:dyDescent="0.25">
      <c r="A5" s="72">
        <v>1</v>
      </c>
      <c r="B5" s="73" t="s">
        <v>272</v>
      </c>
      <c r="C5" s="73" t="s">
        <v>273</v>
      </c>
      <c r="D5" s="74">
        <v>599</v>
      </c>
      <c r="E5" s="75" t="s">
        <v>247</v>
      </c>
      <c r="F5" s="76">
        <f ca="1">IFERROR(IF(E5="","",E5-TODAY()),"")</f>
        <v>8</v>
      </c>
      <c r="G5" s="77" t="str">
        <f ca="1">IFERROR(IF(E5="","",IF(F5&lt;0,"🔴 FORFALDEN – BETAL NU",IF(F5&lt;=3,"🟠 Forfald snart (&lt;3d)",IF(F5&lt;=7,"🟡 Betal denne uge","🟢 OK")))),"")</f>
        <v>🟢 OK</v>
      </c>
      <c r="H5" s="73" t="s">
        <v>274</v>
      </c>
    </row>
    <row r="6" spans="1:8" x14ac:dyDescent="0.25">
      <c r="A6" s="78">
        <v>2</v>
      </c>
      <c r="B6" s="73" t="s">
        <v>275</v>
      </c>
      <c r="C6" s="73" t="s">
        <v>276</v>
      </c>
      <c r="D6" s="74">
        <v>3200</v>
      </c>
      <c r="E6" s="75" t="s">
        <v>277</v>
      </c>
      <c r="F6" s="79">
        <f ca="1">IFERROR(IF(E6="","",E6-TODAY()),"")</f>
        <v>13</v>
      </c>
      <c r="G6" s="80" t="str">
        <f ca="1">IFERROR(IF(E6="","",IF(F6&lt;0,"🔴 FORFALDEN – BETAL NU",IF(F6&lt;=3,"🟠 Forfald snart (&lt;3d)",IF(F6&lt;=7,"🟡 Betal denne uge","🟢 OK")))),"")</f>
        <v>🟢 OK</v>
      </c>
      <c r="H6" s="73" t="s">
        <v>278</v>
      </c>
    </row>
    <row r="7" spans="1:8" x14ac:dyDescent="0.25">
      <c r="A7" s="72">
        <v>3</v>
      </c>
      <c r="B7" s="73" t="s">
        <v>279</v>
      </c>
      <c r="C7" s="73" t="s">
        <v>280</v>
      </c>
      <c r="D7" s="74">
        <v>450</v>
      </c>
      <c r="E7" s="75" t="s">
        <v>281</v>
      </c>
      <c r="F7" s="76">
        <f ca="1">IFERROR(IF(E7="","",E7-TODAY()),"")</f>
        <v>21</v>
      </c>
      <c r="G7" s="77" t="str">
        <f ca="1">IFERROR(IF(E7="","",IF(F7&lt;0,"🔴 FORFALDEN – BETAL NU",IF(F7&lt;=3,"🟠 Forfald snart (&lt;3d)",IF(F7&lt;=7,"🟡 Betal denne uge","🟢 OK")))),"")</f>
        <v>🟢 OK</v>
      </c>
      <c r="H7" s="73" t="s">
        <v>282</v>
      </c>
    </row>
    <row r="8" spans="1:8" x14ac:dyDescent="0.25">
      <c r="A8" s="78">
        <v>4</v>
      </c>
      <c r="B8" s="73" t="s">
        <v>283</v>
      </c>
      <c r="C8" s="73" t="s">
        <v>284</v>
      </c>
      <c r="D8" s="74">
        <v>2100</v>
      </c>
      <c r="E8" s="75" t="s">
        <v>285</v>
      </c>
      <c r="F8" s="79">
        <f ca="1">IFERROR(IF(E8="","",E8-TODAY()),"")</f>
        <v>24</v>
      </c>
      <c r="G8" s="80" t="str">
        <f ca="1">IFERROR(IF(E8="","",IF(F8&lt;0,"🔴 FORFALDEN – BETAL NU",IF(F8&lt;=3,"🟠 Forfald snart (&lt;3d)",IF(F8&lt;=7,"🟡 Betal denne uge","🟢 OK")))),"")</f>
        <v>🟢 OK</v>
      </c>
      <c r="H8" s="73" t="s">
        <v>283</v>
      </c>
    </row>
    <row r="9" spans="1:8" x14ac:dyDescent="0.25">
      <c r="A9" s="72">
        <v>5</v>
      </c>
      <c r="B9" s="73" t="s">
        <v>286</v>
      </c>
      <c r="C9" s="73" t="s">
        <v>287</v>
      </c>
      <c r="D9" s="74">
        <v>8500</v>
      </c>
      <c r="E9" s="75" t="s">
        <v>288</v>
      </c>
      <c r="F9" s="76">
        <f ca="1">IFERROR(IF(E9="","",E9-TODAY()),"")</f>
        <v>38</v>
      </c>
      <c r="G9" s="77" t="str">
        <f ca="1">IFERROR(IF(E9="","",IF(F9&lt;0,"🔴 FORFALDEN – BETAL NU",IF(F9&lt;=3,"🟠 Forfald snart (&lt;3d)",IF(F9&lt;=7,"🟡 Betal denne uge","🟢 OK")))),"")</f>
        <v>🟢 OK</v>
      </c>
      <c r="H9" s="73" t="s">
        <v>289</v>
      </c>
    </row>
    <row r="10" spans="1:8" x14ac:dyDescent="0.25">
      <c r="A10" s="78"/>
      <c r="B10" s="36"/>
      <c r="C10" s="36"/>
      <c r="D10" s="36"/>
      <c r="E10" s="36"/>
      <c r="F10" s="79"/>
      <c r="G10" s="80"/>
      <c r="H10" s="36"/>
    </row>
    <row r="11" spans="1:8" x14ac:dyDescent="0.25">
      <c r="A11" s="72"/>
      <c r="B11" s="45"/>
      <c r="C11" s="45"/>
      <c r="D11" s="45"/>
      <c r="E11" s="45"/>
      <c r="F11" s="76"/>
      <c r="G11" s="77"/>
      <c r="H11" s="45"/>
    </row>
    <row r="12" spans="1:8" x14ac:dyDescent="0.25">
      <c r="A12" s="78"/>
      <c r="B12" s="36"/>
      <c r="C12" s="36"/>
      <c r="D12" s="36"/>
      <c r="E12" s="36"/>
      <c r="F12" s="79"/>
      <c r="G12" s="80"/>
      <c r="H12" s="36"/>
    </row>
    <row r="13" spans="1:8" x14ac:dyDescent="0.25">
      <c r="A13" s="72"/>
      <c r="B13" s="45"/>
      <c r="C13" s="45"/>
      <c r="D13" s="45"/>
      <c r="E13" s="45"/>
      <c r="F13" s="76"/>
      <c r="G13" s="77"/>
      <c r="H13" s="45"/>
    </row>
    <row r="14" spans="1:8" x14ac:dyDescent="0.25">
      <c r="A14" s="78"/>
      <c r="B14" s="36"/>
      <c r="C14" s="36"/>
      <c r="D14" s="36"/>
      <c r="E14" s="36"/>
      <c r="F14" s="79"/>
      <c r="G14" s="80"/>
      <c r="H14" s="36"/>
    </row>
    <row r="17" spans="1:8" x14ac:dyDescent="0.25">
      <c r="A17" s="2" t="s">
        <v>260</v>
      </c>
      <c r="B17" s="2"/>
      <c r="C17" s="2"/>
      <c r="D17" s="2"/>
      <c r="E17" s="2"/>
      <c r="F17" s="2"/>
      <c r="G17" s="2"/>
      <c r="H17" s="2"/>
    </row>
    <row r="18" spans="1:8" x14ac:dyDescent="0.25">
      <c r="A18" s="20" t="s">
        <v>290</v>
      </c>
      <c r="B18" s="54">
        <f>SUMIF(D5:D14,"&gt;0",D5:D14)</f>
        <v>14849</v>
      </c>
      <c r="C18" s="55"/>
      <c r="D18" s="55"/>
      <c r="E18" s="55"/>
      <c r="F18" s="55"/>
      <c r="G18" s="55"/>
      <c r="H18" s="55"/>
    </row>
    <row r="19" spans="1:8" x14ac:dyDescent="0.25">
      <c r="A19" s="31" t="s">
        <v>291</v>
      </c>
      <c r="B19" s="82">
        <f ca="1">SUMIF(F5:F14,"&lt;0",D5:D14)</f>
        <v>0</v>
      </c>
      <c r="C19" s="83"/>
      <c r="D19" s="83"/>
      <c r="E19" s="83"/>
      <c r="F19" s="83"/>
      <c r="G19" s="83"/>
      <c r="H19" s="83"/>
    </row>
    <row r="20" spans="1:8" x14ac:dyDescent="0.25">
      <c r="A20" s="31" t="s">
        <v>292</v>
      </c>
      <c r="B20" s="24">
        <f ca="1">SUMIFS(D5:D14,F5:F14,"&gt;=0",F5:F14,"&lt;=7")</f>
        <v>0</v>
      </c>
      <c r="C20" s="68"/>
      <c r="D20" s="68"/>
      <c r="E20" s="68"/>
      <c r="F20" s="68"/>
      <c r="G20" s="68"/>
      <c r="H20" s="68"/>
    </row>
    <row r="21" spans="1:8" x14ac:dyDescent="0.25">
      <c r="A21" s="31" t="s">
        <v>293</v>
      </c>
      <c r="B21" s="24">
        <f ca="1">SUMIF(F5:F14,"&gt;7",D5:D14)</f>
        <v>14849</v>
      </c>
      <c r="C21" s="68"/>
      <c r="D21" s="68"/>
      <c r="E21" s="68"/>
      <c r="F21" s="68"/>
      <c r="G21" s="68"/>
      <c r="H21" s="68"/>
    </row>
    <row r="22" spans="1:8" x14ac:dyDescent="0.25">
      <c r="A22" s="31" t="s">
        <v>265</v>
      </c>
      <c r="B22" s="81">
        <f>COUNTIF(D5:D14,"&gt;0")</f>
        <v>5</v>
      </c>
      <c r="C22" s="68"/>
      <c r="D22" s="68"/>
      <c r="E22" s="68"/>
      <c r="F22" s="68"/>
      <c r="G22" s="68"/>
      <c r="H22" s="68"/>
    </row>
  </sheetData>
  <mergeCells count="4">
    <mergeCell ref="A1:F1"/>
    <mergeCell ref="A2:F2"/>
    <mergeCell ref="A3:H3"/>
    <mergeCell ref="A17:H17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"/>
  <sheetViews>
    <sheetView zoomScaleNormal="100" workbookViewId="0"/>
  </sheetViews>
  <sheetFormatPr defaultColWidth="8.7109375" defaultRowHeight="15" x14ac:dyDescent="0.25"/>
  <sheetData>
    <row r="1" spans="1:13" ht="15" customHeight="1" x14ac:dyDescent="0.25">
      <c r="A1" t="s">
        <v>21</v>
      </c>
      <c r="B1" t="s">
        <v>25</v>
      </c>
      <c r="C1" t="s">
        <v>27</v>
      </c>
      <c r="D1" t="s">
        <v>28</v>
      </c>
      <c r="E1" t="s">
        <v>30</v>
      </c>
      <c r="F1" t="s">
        <v>31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</row>
    <row r="2" spans="1:13" ht="15" customHeight="1" x14ac:dyDescent="0.25">
      <c r="A2" t="s">
        <v>22</v>
      </c>
      <c r="B2" s="84">
        <f>'📊 Resultatbudget'!B4</f>
        <v>50000</v>
      </c>
      <c r="C2" s="84">
        <f>'📊 Resultatbudget'!C4</f>
        <v>51000</v>
      </c>
      <c r="D2" s="84">
        <f>'📊 Resultatbudget'!D4</f>
        <v>52020</v>
      </c>
      <c r="E2" s="84">
        <f>'📊 Resultatbudget'!E4</f>
        <v>53060.4</v>
      </c>
      <c r="F2" s="84">
        <f>'📊 Resultatbudget'!F4</f>
        <v>54121.608</v>
      </c>
      <c r="G2" s="84">
        <f>'📊 Resultatbudget'!G4</f>
        <v>55204.040160000004</v>
      </c>
      <c r="H2" s="84">
        <f>'📊 Resultatbudget'!H4</f>
        <v>56308.120963200003</v>
      </c>
      <c r="I2" s="84">
        <f>'📊 Resultatbudget'!I4</f>
        <v>57434.283382464004</v>
      </c>
      <c r="J2" s="84">
        <f>'📊 Resultatbudget'!J4</f>
        <v>58582.969050113286</v>
      </c>
      <c r="K2" s="84">
        <f>'📊 Resultatbudget'!K4</f>
        <v>59754.628431115554</v>
      </c>
      <c r="L2" s="84">
        <f>'📊 Resultatbudget'!L4</f>
        <v>60949.720999737867</v>
      </c>
      <c r="M2" s="84">
        <f>'📊 Resultatbudget'!M4</f>
        <v>62168.715419732624</v>
      </c>
    </row>
    <row r="3" spans="1:13" ht="15" customHeight="1" x14ac:dyDescent="0.25">
      <c r="A3" t="s">
        <v>4</v>
      </c>
      <c r="B3" s="84">
        <f>'📊 Resultatbudget'!B13</f>
        <v>2000</v>
      </c>
      <c r="C3" s="84">
        <f>'📊 Resultatbudget'!C13</f>
        <v>2700</v>
      </c>
      <c r="D3" s="84">
        <f>'📊 Resultatbudget'!D13</f>
        <v>3414</v>
      </c>
      <c r="E3" s="84">
        <f>'📊 Resultatbudget'!E13</f>
        <v>4142.2799999999988</v>
      </c>
      <c r="F3" s="84">
        <f>'📊 Resultatbudget'!F13</f>
        <v>4885.1255999999994</v>
      </c>
      <c r="G3" s="84">
        <f>'📊 Resultatbudget'!G13</f>
        <v>5642.8281120000029</v>
      </c>
      <c r="H3" s="84">
        <f>'📊 Resultatbudget'!H13</f>
        <v>6415.6846742400012</v>
      </c>
      <c r="I3" s="84">
        <f>'📊 Resultatbudget'!I13</f>
        <v>7203.9983677248019</v>
      </c>
      <c r="J3" s="84">
        <f>'📊 Resultatbudget'!J13</f>
        <v>8008.0783350793063</v>
      </c>
      <c r="K3" s="84">
        <f>'📊 Resultatbudget'!K13</f>
        <v>8828.239901780893</v>
      </c>
      <c r="L3" s="84">
        <f>'📊 Resultatbudget'!L13</f>
        <v>9664.8046998165082</v>
      </c>
      <c r="M3" s="84">
        <f>'📊 Resultatbudget'!M13</f>
        <v>10518.100793812839</v>
      </c>
    </row>
    <row r="4" spans="1:13" ht="15" customHeight="1" x14ac:dyDescent="0.25">
      <c r="A4" t="s">
        <v>24</v>
      </c>
      <c r="B4" s="84">
        <f>'💧 Likviditet'!B9</f>
        <v>90750</v>
      </c>
      <c r="C4" s="84">
        <f>'💧 Likviditet'!C9</f>
        <v>102375</v>
      </c>
      <c r="D4" s="84">
        <f>'💧 Likviditet'!D9</f>
        <v>114892.5</v>
      </c>
      <c r="E4" s="84">
        <f>'💧 Likviditet'!E9</f>
        <v>128320.35</v>
      </c>
      <c r="F4" s="84">
        <f>'💧 Likviditet'!F9</f>
        <v>142676.75699999998</v>
      </c>
      <c r="G4" s="84">
        <f>'💧 Likviditet'!G9</f>
        <v>157980.29213999998</v>
      </c>
      <c r="H4" s="84">
        <f>'💧 Likviditet'!H9</f>
        <v>174249.89798279997</v>
      </c>
      <c r="I4" s="84">
        <f>'💧 Likviditet'!I9</f>
        <v>191504.89594245597</v>
      </c>
      <c r="J4" s="84">
        <f>'💧 Likviditet'!J9</f>
        <v>209764.99386130512</v>
      </c>
      <c r="K4" s="84">
        <f>'💧 Likviditet'!K9</f>
        <v>229050.29373853121</v>
      </c>
      <c r="L4" s="84">
        <f>'💧 Likviditet'!L9</f>
        <v>249381.29961330182</v>
      </c>
      <c r="M4" s="84">
        <f>'💧 Likviditet'!M9</f>
        <v>270778.92560556787</v>
      </c>
    </row>
    <row r="5" spans="1:13" ht="15" customHeight="1" x14ac:dyDescent="0.25">
      <c r="A5" t="s">
        <v>294</v>
      </c>
      <c r="B5">
        <f>ABS('📊 Resultatbudget'!B8+'📊 Resultatbudget'!B9+'📊 Resultatbudget'!B10)</f>
        <v>33000</v>
      </c>
      <c r="C5">
        <f>ABS('📊 Resultatbudget'!C8+'📊 Resultatbudget'!C9+'📊 Resultatbudget'!C10)</f>
        <v>33000</v>
      </c>
      <c r="D5">
        <f>ABS('📊 Resultatbudget'!D8+'📊 Resultatbudget'!D9+'📊 Resultatbudget'!D10)</f>
        <v>33000</v>
      </c>
      <c r="E5">
        <f>ABS('📊 Resultatbudget'!E8+'📊 Resultatbudget'!E9+'📊 Resultatbudget'!E10)</f>
        <v>33000</v>
      </c>
      <c r="F5">
        <f>ABS('📊 Resultatbudget'!F8+'📊 Resultatbudget'!F9+'📊 Resultatbudget'!F10)</f>
        <v>33000</v>
      </c>
      <c r="G5">
        <f>ABS('📊 Resultatbudget'!G8+'📊 Resultatbudget'!G9+'📊 Resultatbudget'!G10)</f>
        <v>33000</v>
      </c>
      <c r="H5">
        <f>ABS('📊 Resultatbudget'!H8+'📊 Resultatbudget'!H9+'📊 Resultatbudget'!H10)</f>
        <v>33000</v>
      </c>
      <c r="I5">
        <f>ABS('📊 Resultatbudget'!I8+'📊 Resultatbudget'!I9+'📊 Resultatbudget'!I10)</f>
        <v>33000</v>
      </c>
      <c r="J5">
        <f>ABS('📊 Resultatbudget'!J8+'📊 Resultatbudget'!J9+'📊 Resultatbudget'!J10)</f>
        <v>33000</v>
      </c>
      <c r="K5">
        <f>ABS('📊 Resultatbudget'!K8+'📊 Resultatbudget'!K9+'📊 Resultatbudget'!K10)</f>
        <v>33000</v>
      </c>
      <c r="L5">
        <f>ABS('📊 Resultatbudget'!L8+'📊 Resultatbudget'!L9+'📊 Resultatbudget'!L10)</f>
        <v>33000</v>
      </c>
      <c r="M5">
        <f>ABS('📊 Resultatbudget'!M8+'📊 Resultatbudget'!M9+'📊 Resultatbudget'!M10)</f>
        <v>33000</v>
      </c>
    </row>
    <row r="6" spans="1:13" ht="15" customHeight="1" x14ac:dyDescent="0.25">
      <c r="A6" t="s">
        <v>295</v>
      </c>
      <c r="B6" s="84">
        <f>'🧾 Momsopgørelse'!B8</f>
        <v>8750</v>
      </c>
      <c r="C6" s="84">
        <f>'🧾 Momsopgørelse'!C8</f>
        <v>8925</v>
      </c>
      <c r="D6" s="84">
        <f>'🧾 Momsopgørelse'!D8</f>
        <v>9103.5</v>
      </c>
      <c r="E6" s="84">
        <f>'🧾 Momsopgørelse'!E8</f>
        <v>9285.57</v>
      </c>
      <c r="F6" s="84">
        <f>'🧾 Momsopgørelse'!F8</f>
        <v>9471.2813999999998</v>
      </c>
      <c r="G6" s="84">
        <f>'🧾 Momsopgørelse'!G8</f>
        <v>9660.7070280000007</v>
      </c>
      <c r="H6" s="84">
        <f>'🧾 Momsopgørelse'!H8</f>
        <v>9853.9211685600003</v>
      </c>
      <c r="I6" s="84">
        <f>'🧾 Momsopgørelse'!I8</f>
        <v>10050.9995919312</v>
      </c>
      <c r="J6" s="84">
        <f>'🧾 Momsopgørelse'!J8</f>
        <v>10252.019583769827</v>
      </c>
      <c r="K6" s="84">
        <f>'🧾 Momsopgørelse'!K8</f>
        <v>10457.059975445223</v>
      </c>
      <c r="L6" s="84">
        <f>'🧾 Momsopgørelse'!L8</f>
        <v>10666.201174954127</v>
      </c>
      <c r="M6" s="84">
        <f>'🧾 Momsopgørelse'!M8</f>
        <v>10879.52519845321</v>
      </c>
    </row>
    <row r="7" spans="1:13" ht="15" customHeight="1" x14ac:dyDescent="0.25">
      <c r="A7" t="s">
        <v>85</v>
      </c>
      <c r="B7" s="84">
        <f>'📊 Resultatbudget'!B6</f>
        <v>35000</v>
      </c>
      <c r="C7" s="84">
        <f>'📊 Resultatbudget'!C6</f>
        <v>35700</v>
      </c>
      <c r="D7" s="84">
        <f>'📊 Resultatbudget'!D6</f>
        <v>36414</v>
      </c>
      <c r="E7" s="84">
        <f>'📊 Resultatbudget'!E6</f>
        <v>37142.28</v>
      </c>
      <c r="F7" s="84">
        <f>'📊 Resultatbudget'!F6</f>
        <v>37885.125599999999</v>
      </c>
      <c r="G7" s="84">
        <f>'📊 Resultatbudget'!G6</f>
        <v>38642.828112000003</v>
      </c>
      <c r="H7" s="84">
        <f>'📊 Resultatbudget'!H6</f>
        <v>39415.684674240001</v>
      </c>
      <c r="I7" s="84">
        <f>'📊 Resultatbudget'!I6</f>
        <v>40203.998367724802</v>
      </c>
      <c r="J7" s="84">
        <f>'📊 Resultatbudget'!J6</f>
        <v>41008.078335079306</v>
      </c>
      <c r="K7" s="84">
        <f>'📊 Resultatbudget'!K6</f>
        <v>41828.239901780893</v>
      </c>
      <c r="L7" s="84">
        <f>'📊 Resultatbudget'!L6</f>
        <v>42664.804699816508</v>
      </c>
      <c r="M7" s="84">
        <f>'📊 Resultatbudget'!M6</f>
        <v>43518.100793812839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FA3"/>
  </sheetPr>
  <dimension ref="A1:D42"/>
  <sheetViews>
    <sheetView tabSelected="1" zoomScaleNormal="100" workbookViewId="0">
      <selection sqref="A1:D1"/>
    </sheetView>
  </sheetViews>
  <sheetFormatPr defaultColWidth="8.7109375" defaultRowHeight="15" x14ac:dyDescent="0.25"/>
  <cols>
    <col min="1" max="1" width="35.140625" bestFit="1" customWidth="1"/>
    <col min="2" max="2" width="19.28515625" bestFit="1" customWidth="1"/>
    <col min="3" max="3" width="30" customWidth="1"/>
    <col min="4" max="4" width="18" customWidth="1"/>
  </cols>
  <sheetData>
    <row r="1" spans="1:4" ht="20.25" x14ac:dyDescent="0.25">
      <c r="A1" s="5" t="s">
        <v>41</v>
      </c>
      <c r="B1" s="5"/>
      <c r="C1" s="5"/>
      <c r="D1" s="5"/>
    </row>
    <row r="2" spans="1:4" x14ac:dyDescent="0.25">
      <c r="A2" s="13" t="s">
        <v>296</v>
      </c>
      <c r="B2" s="13"/>
      <c r="C2" s="13"/>
      <c r="D2" s="13"/>
    </row>
    <row r="4" spans="1:4" x14ac:dyDescent="0.25">
      <c r="A4" s="4" t="s">
        <v>42</v>
      </c>
      <c r="B4" s="4"/>
      <c r="C4" s="4"/>
      <c r="D4" s="4"/>
    </row>
    <row r="5" spans="1:4" x14ac:dyDescent="0.25">
      <c r="A5" s="27" t="s">
        <v>43</v>
      </c>
      <c r="B5" s="28" t="s">
        <v>44</v>
      </c>
    </row>
    <row r="6" spans="1:4" x14ac:dyDescent="0.25">
      <c r="A6" s="27" t="s">
        <v>45</v>
      </c>
      <c r="B6" s="28" t="s">
        <v>46</v>
      </c>
    </row>
    <row r="7" spans="1:4" x14ac:dyDescent="0.25">
      <c r="A7" s="27" t="s">
        <v>47</v>
      </c>
      <c r="B7" s="28">
        <v>2026</v>
      </c>
    </row>
    <row r="8" spans="1:4" x14ac:dyDescent="0.25">
      <c r="A8" s="27" t="s">
        <v>48</v>
      </c>
      <c r="B8" s="28" t="s">
        <v>49</v>
      </c>
    </row>
    <row r="9" spans="1:4" x14ac:dyDescent="0.25">
      <c r="A9" s="27" t="s">
        <v>50</v>
      </c>
      <c r="B9" s="28" t="s">
        <v>51</v>
      </c>
    </row>
    <row r="11" spans="1:4" x14ac:dyDescent="0.25">
      <c r="A11" s="4" t="s">
        <v>52</v>
      </c>
      <c r="B11" s="4"/>
      <c r="C11" s="4"/>
      <c r="D11" s="4"/>
    </row>
    <row r="12" spans="1:4" x14ac:dyDescent="0.25">
      <c r="A12" s="27" t="s">
        <v>53</v>
      </c>
      <c r="B12" s="29">
        <v>50000</v>
      </c>
    </row>
    <row r="13" spans="1:4" x14ac:dyDescent="0.25">
      <c r="A13" s="27" t="s">
        <v>54</v>
      </c>
      <c r="B13" s="30">
        <v>0.02</v>
      </c>
    </row>
    <row r="14" spans="1:4" x14ac:dyDescent="0.25">
      <c r="A14" s="27" t="s">
        <v>55</v>
      </c>
      <c r="B14" s="30">
        <v>0.25</v>
      </c>
    </row>
    <row r="15" spans="1:4" x14ac:dyDescent="0.25">
      <c r="A15" s="27" t="s">
        <v>56</v>
      </c>
      <c r="B15" s="28">
        <v>30</v>
      </c>
    </row>
    <row r="17" spans="1:4" x14ac:dyDescent="0.25">
      <c r="A17" s="4" t="s">
        <v>57</v>
      </c>
      <c r="B17" s="4"/>
      <c r="C17" s="4"/>
      <c r="D17" s="4"/>
    </row>
    <row r="18" spans="1:4" x14ac:dyDescent="0.25">
      <c r="A18" s="27" t="s">
        <v>58</v>
      </c>
      <c r="B18" s="30">
        <v>0.3</v>
      </c>
    </row>
    <row r="19" spans="1:4" x14ac:dyDescent="0.25">
      <c r="A19" s="27" t="s">
        <v>59</v>
      </c>
      <c r="B19" s="29">
        <v>25000</v>
      </c>
    </row>
    <row r="20" spans="1:4" x14ac:dyDescent="0.25">
      <c r="A20" s="27" t="s">
        <v>60</v>
      </c>
      <c r="B20" s="29">
        <v>5000</v>
      </c>
    </row>
    <row r="21" spans="1:4" x14ac:dyDescent="0.25">
      <c r="A21" s="27" t="s">
        <v>61</v>
      </c>
      <c r="B21" s="29">
        <v>3000</v>
      </c>
    </row>
    <row r="22" spans="1:4" x14ac:dyDescent="0.25">
      <c r="A22" s="27" t="s">
        <v>62</v>
      </c>
      <c r="B22" s="29">
        <v>20000</v>
      </c>
    </row>
    <row r="24" spans="1:4" x14ac:dyDescent="0.25">
      <c r="A24" s="4" t="s">
        <v>63</v>
      </c>
      <c r="B24" s="4"/>
      <c r="C24" s="4"/>
      <c r="D24" s="4"/>
    </row>
    <row r="25" spans="1:4" x14ac:dyDescent="0.25">
      <c r="A25" s="27" t="s">
        <v>64</v>
      </c>
      <c r="B25" s="29">
        <v>100000</v>
      </c>
    </row>
    <row r="26" spans="1:4" x14ac:dyDescent="0.25">
      <c r="A26" s="27" t="s">
        <v>65</v>
      </c>
      <c r="B26" s="29">
        <v>0</v>
      </c>
    </row>
    <row r="27" spans="1:4" x14ac:dyDescent="0.25">
      <c r="A27" s="27" t="s">
        <v>66</v>
      </c>
      <c r="B27" s="30">
        <v>0.05</v>
      </c>
    </row>
    <row r="29" spans="1:4" x14ac:dyDescent="0.25">
      <c r="A29" s="4" t="s">
        <v>67</v>
      </c>
      <c r="B29" s="4"/>
      <c r="C29" s="4"/>
      <c r="D29" s="4"/>
    </row>
    <row r="30" spans="1:4" x14ac:dyDescent="0.25">
      <c r="A30" s="3" t="s">
        <v>68</v>
      </c>
      <c r="B30" s="3"/>
      <c r="C30" s="3"/>
      <c r="D30" s="3"/>
    </row>
    <row r="31" spans="1:4" x14ac:dyDescent="0.25">
      <c r="A31" s="2" t="s">
        <v>69</v>
      </c>
      <c r="B31" s="2"/>
      <c r="C31" s="2"/>
      <c r="D31" s="2"/>
    </row>
    <row r="32" spans="1:4" x14ac:dyDescent="0.25">
      <c r="A32" s="31" t="s">
        <v>70</v>
      </c>
      <c r="B32" s="28" t="s">
        <v>71</v>
      </c>
    </row>
    <row r="33" spans="1:4" x14ac:dyDescent="0.25">
      <c r="A33" s="31" t="s">
        <v>72</v>
      </c>
      <c r="B33" s="30">
        <v>0.22</v>
      </c>
    </row>
    <row r="34" spans="1:4" x14ac:dyDescent="0.25">
      <c r="A34" s="31" t="s">
        <v>73</v>
      </c>
      <c r="B34" s="30">
        <v>0.27</v>
      </c>
    </row>
    <row r="35" spans="1:4" x14ac:dyDescent="0.25">
      <c r="A35" s="31" t="s">
        <v>74</v>
      </c>
      <c r="B35" s="28">
        <v>0</v>
      </c>
    </row>
    <row r="36" spans="1:4" x14ac:dyDescent="0.25">
      <c r="A36" s="31" t="s">
        <v>75</v>
      </c>
      <c r="B36" s="32">
        <v>2.23</v>
      </c>
    </row>
    <row r="38" spans="1:4" x14ac:dyDescent="0.25">
      <c r="A38" s="2" t="s">
        <v>76</v>
      </c>
      <c r="B38" s="2"/>
      <c r="C38" s="2"/>
      <c r="D38" s="2"/>
    </row>
    <row r="39" spans="1:4" x14ac:dyDescent="0.25">
      <c r="A39" s="31" t="s">
        <v>77</v>
      </c>
      <c r="B39" s="29">
        <v>500</v>
      </c>
    </row>
    <row r="40" spans="1:4" x14ac:dyDescent="0.25">
      <c r="A40" s="31" t="s">
        <v>78</v>
      </c>
      <c r="B40" s="29">
        <v>150</v>
      </c>
    </row>
    <row r="42" spans="1:4" x14ac:dyDescent="0.25">
      <c r="A42" s="3" t="s">
        <v>79</v>
      </c>
      <c r="B42" s="3"/>
      <c r="C42" s="3"/>
      <c r="D42" s="3"/>
    </row>
  </sheetData>
  <mergeCells count="11">
    <mergeCell ref="A42:D42"/>
    <mergeCell ref="A24:D24"/>
    <mergeCell ref="A29:D29"/>
    <mergeCell ref="A30:D30"/>
    <mergeCell ref="A31:D31"/>
    <mergeCell ref="A38:D38"/>
    <mergeCell ref="A1:D1"/>
    <mergeCell ref="A2:D2"/>
    <mergeCell ref="A4:D4"/>
    <mergeCell ref="A11:D11"/>
    <mergeCell ref="A17:D1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75623"/>
  </sheetPr>
  <dimension ref="A1:N13"/>
  <sheetViews>
    <sheetView zoomScaleNormal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109375" defaultRowHeight="15" x14ac:dyDescent="0.25"/>
  <cols>
    <col min="1" max="1" width="26" bestFit="1" customWidth="1"/>
    <col min="2" max="13" width="10.42578125" bestFit="1" customWidth="1"/>
    <col min="14" max="14" width="11.5703125" bestFit="1" customWidth="1"/>
    <col min="15" max="15" width="12" customWidth="1"/>
  </cols>
  <sheetData>
    <row r="1" spans="1:14" ht="18" x14ac:dyDescent="0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85" t="s">
        <v>81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x14ac:dyDescent="0.25">
      <c r="A3" s="33" t="s">
        <v>82</v>
      </c>
      <c r="B3" s="19" t="s">
        <v>25</v>
      </c>
      <c r="C3" s="19" t="s">
        <v>27</v>
      </c>
      <c r="D3" s="19" t="s">
        <v>28</v>
      </c>
      <c r="E3" s="19" t="s">
        <v>30</v>
      </c>
      <c r="F3" s="19" t="s">
        <v>31</v>
      </c>
      <c r="G3" s="19" t="s">
        <v>33</v>
      </c>
      <c r="H3" s="19" t="s">
        <v>34</v>
      </c>
      <c r="I3" s="19" t="s">
        <v>35</v>
      </c>
      <c r="J3" s="19" t="s">
        <v>36</v>
      </c>
      <c r="K3" s="19" t="s">
        <v>37</v>
      </c>
      <c r="L3" s="19" t="s">
        <v>38</v>
      </c>
      <c r="M3" s="19" t="s">
        <v>39</v>
      </c>
      <c r="N3" s="34" t="s">
        <v>40</v>
      </c>
    </row>
    <row r="4" spans="1:14" x14ac:dyDescent="0.25">
      <c r="A4" s="20" t="s">
        <v>83</v>
      </c>
      <c r="B4" s="35">
        <f>'⚙️ Antagelser'!B12</f>
        <v>50000</v>
      </c>
      <c r="C4" s="35">
        <f>B4*(1+'⚙️ Antagelser'!B13)</f>
        <v>51000</v>
      </c>
      <c r="D4" s="35">
        <f>C4*(1+'⚙️ Antagelser'!B13)</f>
        <v>52020</v>
      </c>
      <c r="E4" s="35">
        <f>D4*(1+'⚙️ Antagelser'!B13)</f>
        <v>53060.4</v>
      </c>
      <c r="F4" s="35">
        <f>E4*(1+'⚙️ Antagelser'!B13)</f>
        <v>54121.608</v>
      </c>
      <c r="G4" s="35">
        <f>F4*(1+'⚙️ Antagelser'!B13)</f>
        <v>55204.040160000004</v>
      </c>
      <c r="H4" s="35">
        <f>G4*(1+'⚙️ Antagelser'!B13)</f>
        <v>56308.120963200003</v>
      </c>
      <c r="I4" s="35">
        <f>H4*(1+'⚙️ Antagelser'!B13)</f>
        <v>57434.283382464004</v>
      </c>
      <c r="J4" s="35">
        <f>I4*(1+'⚙️ Antagelser'!B13)</f>
        <v>58582.969050113286</v>
      </c>
      <c r="K4" s="35">
        <f>J4*(1+'⚙️ Antagelser'!B13)</f>
        <v>59754.628431115554</v>
      </c>
      <c r="L4" s="35">
        <f>K4*(1+'⚙️ Antagelser'!B13)</f>
        <v>60949.720999737867</v>
      </c>
      <c r="M4" s="35">
        <f>L4*(1+'⚙️ Antagelser'!B13)</f>
        <v>62168.715419732624</v>
      </c>
      <c r="N4" s="35">
        <f>SUM(B4:M4)</f>
        <v>670604.48640636331</v>
      </c>
    </row>
    <row r="5" spans="1:14" x14ac:dyDescent="0.25">
      <c r="A5" s="36" t="s">
        <v>84</v>
      </c>
      <c r="B5" s="37">
        <f>-B4*'⚙️ Antagelser'!B18</f>
        <v>-15000</v>
      </c>
      <c r="C5" s="37">
        <f>-C4*'⚙️ Antagelser'!B18</f>
        <v>-15300</v>
      </c>
      <c r="D5" s="37">
        <f>-D4*'⚙️ Antagelser'!B18</f>
        <v>-15606</v>
      </c>
      <c r="E5" s="37">
        <f>-E4*'⚙️ Antagelser'!B18</f>
        <v>-15918.119999999999</v>
      </c>
      <c r="F5" s="37">
        <f>-F4*'⚙️ Antagelser'!B18</f>
        <v>-16236.482399999999</v>
      </c>
      <c r="G5" s="37">
        <f>-G4*'⚙️ Antagelser'!B18</f>
        <v>-16561.212048000001</v>
      </c>
      <c r="H5" s="37">
        <f>-H4*'⚙️ Antagelser'!B18</f>
        <v>-16892.436288960002</v>
      </c>
      <c r="I5" s="37">
        <f>-I4*'⚙️ Antagelser'!B18</f>
        <v>-17230.285014739202</v>
      </c>
      <c r="J5" s="37">
        <f>-J4*'⚙️ Antagelser'!B18</f>
        <v>-17574.890715033984</v>
      </c>
      <c r="K5" s="37">
        <f>-K4*'⚙️ Antagelser'!B18</f>
        <v>-17926.388529334665</v>
      </c>
      <c r="L5" s="37">
        <f>-L4*'⚙️ Antagelser'!B18</f>
        <v>-18284.916299921359</v>
      </c>
      <c r="M5" s="37">
        <f>-M4*'⚙️ Antagelser'!B18</f>
        <v>-18650.614625919785</v>
      </c>
      <c r="N5" s="38">
        <f>SUM(B5:M5)</f>
        <v>-201181.34592190897</v>
      </c>
    </row>
    <row r="6" spans="1:14" x14ac:dyDescent="0.25">
      <c r="A6" s="39" t="s">
        <v>85</v>
      </c>
      <c r="B6" s="38">
        <f t="shared" ref="B6:M6" si="0">B4+B5</f>
        <v>35000</v>
      </c>
      <c r="C6" s="38">
        <f t="shared" si="0"/>
        <v>35700</v>
      </c>
      <c r="D6" s="38">
        <f t="shared" si="0"/>
        <v>36414</v>
      </c>
      <c r="E6" s="38">
        <f t="shared" si="0"/>
        <v>37142.28</v>
      </c>
      <c r="F6" s="38">
        <f t="shared" si="0"/>
        <v>37885.125599999999</v>
      </c>
      <c r="G6" s="38">
        <f t="shared" si="0"/>
        <v>38642.828112000003</v>
      </c>
      <c r="H6" s="38">
        <f t="shared" si="0"/>
        <v>39415.684674240001</v>
      </c>
      <c r="I6" s="38">
        <f t="shared" si="0"/>
        <v>40203.998367724802</v>
      </c>
      <c r="J6" s="38">
        <f t="shared" si="0"/>
        <v>41008.078335079306</v>
      </c>
      <c r="K6" s="38">
        <f t="shared" si="0"/>
        <v>41828.239901780893</v>
      </c>
      <c r="L6" s="38">
        <f t="shared" si="0"/>
        <v>42664.804699816508</v>
      </c>
      <c r="M6" s="38">
        <f t="shared" si="0"/>
        <v>43518.100793812839</v>
      </c>
      <c r="N6" s="38">
        <f>SUM(B6:M6)</f>
        <v>469423.1404844544</v>
      </c>
    </row>
    <row r="7" spans="1:14" x14ac:dyDescent="0.25">
      <c r="A7" s="40" t="s">
        <v>86</v>
      </c>
    </row>
    <row r="8" spans="1:14" x14ac:dyDescent="0.25">
      <c r="A8" s="36" t="s">
        <v>87</v>
      </c>
      <c r="B8" s="37">
        <f>-'⚙️ Antagelser'!B19</f>
        <v>-25000</v>
      </c>
      <c r="C8" s="37">
        <f>-'⚙️ Antagelser'!B19</f>
        <v>-25000</v>
      </c>
      <c r="D8" s="37">
        <f>-'⚙️ Antagelser'!B19</f>
        <v>-25000</v>
      </c>
      <c r="E8" s="37">
        <f>-'⚙️ Antagelser'!B19</f>
        <v>-25000</v>
      </c>
      <c r="F8" s="37">
        <f>-'⚙️ Antagelser'!B19</f>
        <v>-25000</v>
      </c>
      <c r="G8" s="37">
        <f>-'⚙️ Antagelser'!B19</f>
        <v>-25000</v>
      </c>
      <c r="H8" s="37">
        <f>-'⚙️ Antagelser'!B19</f>
        <v>-25000</v>
      </c>
      <c r="I8" s="37">
        <f>-'⚙️ Antagelser'!B19</f>
        <v>-25000</v>
      </c>
      <c r="J8" s="37">
        <f>-'⚙️ Antagelser'!B19</f>
        <v>-25000</v>
      </c>
      <c r="K8" s="37">
        <f>-'⚙️ Antagelser'!B19</f>
        <v>-25000</v>
      </c>
      <c r="L8" s="37">
        <f>-'⚙️ Antagelser'!B19</f>
        <v>-25000</v>
      </c>
      <c r="M8" s="37">
        <f>-'⚙️ Antagelser'!B19</f>
        <v>-25000</v>
      </c>
      <c r="N8" s="38">
        <f t="shared" ref="N8:N13" si="1">SUM(B8:M8)</f>
        <v>-300000</v>
      </c>
    </row>
    <row r="9" spans="1:14" x14ac:dyDescent="0.25">
      <c r="A9" s="36" t="s">
        <v>88</v>
      </c>
      <c r="B9" s="37">
        <f>-'⚙️ Antagelser'!B20</f>
        <v>-5000</v>
      </c>
      <c r="C9" s="37">
        <f>-'⚙️ Antagelser'!B20</f>
        <v>-5000</v>
      </c>
      <c r="D9" s="37">
        <f>-'⚙️ Antagelser'!B20</f>
        <v>-5000</v>
      </c>
      <c r="E9" s="37">
        <f>-'⚙️ Antagelser'!B20</f>
        <v>-5000</v>
      </c>
      <c r="F9" s="37">
        <f>-'⚙️ Antagelser'!B20</f>
        <v>-5000</v>
      </c>
      <c r="G9" s="37">
        <f>-'⚙️ Antagelser'!B20</f>
        <v>-5000</v>
      </c>
      <c r="H9" s="37">
        <f>-'⚙️ Antagelser'!B20</f>
        <v>-5000</v>
      </c>
      <c r="I9" s="37">
        <f>-'⚙️ Antagelser'!B20</f>
        <v>-5000</v>
      </c>
      <c r="J9" s="37">
        <f>-'⚙️ Antagelser'!B20</f>
        <v>-5000</v>
      </c>
      <c r="K9" s="37">
        <f>-'⚙️ Antagelser'!B20</f>
        <v>-5000</v>
      </c>
      <c r="L9" s="37">
        <f>-'⚙️ Antagelser'!B20</f>
        <v>-5000</v>
      </c>
      <c r="M9" s="37">
        <f>-'⚙️ Antagelser'!B20</f>
        <v>-5000</v>
      </c>
      <c r="N9" s="38">
        <f t="shared" si="1"/>
        <v>-60000</v>
      </c>
    </row>
    <row r="10" spans="1:14" x14ac:dyDescent="0.25">
      <c r="A10" s="36" t="s">
        <v>89</v>
      </c>
      <c r="B10" s="37">
        <f>-'⚙️ Antagelser'!B21</f>
        <v>-3000</v>
      </c>
      <c r="C10" s="37">
        <f>-'⚙️ Antagelser'!B21</f>
        <v>-3000</v>
      </c>
      <c r="D10" s="37">
        <f>-'⚙️ Antagelser'!B21</f>
        <v>-3000</v>
      </c>
      <c r="E10" s="37">
        <f>-'⚙️ Antagelser'!B21</f>
        <v>-3000</v>
      </c>
      <c r="F10" s="37">
        <f>-'⚙️ Antagelser'!B21</f>
        <v>-3000</v>
      </c>
      <c r="G10" s="37">
        <f>-'⚙️ Antagelser'!B21</f>
        <v>-3000</v>
      </c>
      <c r="H10" s="37">
        <f>-'⚙️ Antagelser'!B21</f>
        <v>-3000</v>
      </c>
      <c r="I10" s="37">
        <f>-'⚙️ Antagelser'!B21</f>
        <v>-3000</v>
      </c>
      <c r="J10" s="37">
        <f>-'⚙️ Antagelser'!B21</f>
        <v>-3000</v>
      </c>
      <c r="K10" s="37">
        <f>-'⚙️ Antagelser'!B21</f>
        <v>-3000</v>
      </c>
      <c r="L10" s="37">
        <f>-'⚙️ Antagelser'!B21</f>
        <v>-3000</v>
      </c>
      <c r="M10" s="37">
        <f>-'⚙️ Antagelser'!B21</f>
        <v>-3000</v>
      </c>
      <c r="N10" s="38">
        <f t="shared" si="1"/>
        <v>-36000</v>
      </c>
    </row>
    <row r="11" spans="1:14" x14ac:dyDescent="0.25">
      <c r="A11" s="41" t="s">
        <v>90</v>
      </c>
      <c r="B11" s="42">
        <f t="shared" ref="B11:M11" si="2">SUM(B6,B8,B9,B10)</f>
        <v>2000</v>
      </c>
      <c r="C11" s="42">
        <f t="shared" si="2"/>
        <v>2700</v>
      </c>
      <c r="D11" s="42">
        <f t="shared" si="2"/>
        <v>3414</v>
      </c>
      <c r="E11" s="42">
        <f t="shared" si="2"/>
        <v>4142.2799999999988</v>
      </c>
      <c r="F11" s="42">
        <f t="shared" si="2"/>
        <v>4885.1255999999994</v>
      </c>
      <c r="G11" s="42">
        <f t="shared" si="2"/>
        <v>5642.8281120000029</v>
      </c>
      <c r="H11" s="42">
        <f t="shared" si="2"/>
        <v>6415.6846742400012</v>
      </c>
      <c r="I11" s="42">
        <f t="shared" si="2"/>
        <v>7203.9983677248019</v>
      </c>
      <c r="J11" s="42">
        <f t="shared" si="2"/>
        <v>8008.0783350793063</v>
      </c>
      <c r="K11" s="42">
        <f t="shared" si="2"/>
        <v>8828.239901780893</v>
      </c>
      <c r="L11" s="42">
        <f t="shared" si="2"/>
        <v>9664.8046998165082</v>
      </c>
      <c r="M11" s="42">
        <f t="shared" si="2"/>
        <v>10518.100793812839</v>
      </c>
      <c r="N11" s="43">
        <f t="shared" si="1"/>
        <v>73423.140484454343</v>
      </c>
    </row>
    <row r="12" spans="1:14" x14ac:dyDescent="0.25">
      <c r="A12" s="36" t="s">
        <v>91</v>
      </c>
      <c r="B12" s="37">
        <f>-'⚙️ Antagelser'!B26*'⚙️ Antagelser'!B27/12</f>
        <v>0</v>
      </c>
      <c r="C12" s="37">
        <f>-'⚙️ Antagelser'!B26*'⚙️ Antagelser'!B27/12</f>
        <v>0</v>
      </c>
      <c r="D12" s="37">
        <f>-'⚙️ Antagelser'!B26*'⚙️ Antagelser'!B27/12</f>
        <v>0</v>
      </c>
      <c r="E12" s="37">
        <f>-'⚙️ Antagelser'!B26*'⚙️ Antagelser'!B27/12</f>
        <v>0</v>
      </c>
      <c r="F12" s="37">
        <f>-'⚙️ Antagelser'!B26*'⚙️ Antagelser'!B27/12</f>
        <v>0</v>
      </c>
      <c r="G12" s="37">
        <f>-'⚙️ Antagelser'!B26*'⚙️ Antagelser'!B27/12</f>
        <v>0</v>
      </c>
      <c r="H12" s="37">
        <f>-'⚙️ Antagelser'!B26*'⚙️ Antagelser'!B27/12</f>
        <v>0</v>
      </c>
      <c r="I12" s="37">
        <f>-'⚙️ Antagelser'!B26*'⚙️ Antagelser'!B27/12</f>
        <v>0</v>
      </c>
      <c r="J12" s="37">
        <f>-'⚙️ Antagelser'!B26*'⚙️ Antagelser'!B27/12</f>
        <v>0</v>
      </c>
      <c r="K12" s="37">
        <f>-'⚙️ Antagelser'!B26*'⚙️ Antagelser'!B27/12</f>
        <v>0</v>
      </c>
      <c r="L12" s="37">
        <f>-'⚙️ Antagelser'!B26*'⚙️ Antagelser'!B27/12</f>
        <v>0</v>
      </c>
      <c r="M12" s="37">
        <f>-'⚙️ Antagelser'!B26*'⚙️ Antagelser'!B27/12</f>
        <v>0</v>
      </c>
      <c r="N12" s="38">
        <f t="shared" si="1"/>
        <v>0</v>
      </c>
    </row>
    <row r="13" spans="1:14" x14ac:dyDescent="0.25">
      <c r="A13" s="44" t="s">
        <v>4</v>
      </c>
      <c r="B13" s="43">
        <f t="shared" ref="B13:M13" si="3">B11+B12</f>
        <v>2000</v>
      </c>
      <c r="C13" s="43">
        <f t="shared" si="3"/>
        <v>2700</v>
      </c>
      <c r="D13" s="43">
        <f t="shared" si="3"/>
        <v>3414</v>
      </c>
      <c r="E13" s="43">
        <f t="shared" si="3"/>
        <v>4142.2799999999988</v>
      </c>
      <c r="F13" s="43">
        <f t="shared" si="3"/>
        <v>4885.1255999999994</v>
      </c>
      <c r="G13" s="43">
        <f t="shared" si="3"/>
        <v>5642.8281120000029</v>
      </c>
      <c r="H13" s="43">
        <f t="shared" si="3"/>
        <v>6415.6846742400012</v>
      </c>
      <c r="I13" s="43">
        <f t="shared" si="3"/>
        <v>7203.9983677248019</v>
      </c>
      <c r="J13" s="43">
        <f t="shared" si="3"/>
        <v>8008.0783350793063</v>
      </c>
      <c r="K13" s="43">
        <f t="shared" si="3"/>
        <v>8828.239901780893</v>
      </c>
      <c r="L13" s="43">
        <f t="shared" si="3"/>
        <v>9664.8046998165082</v>
      </c>
      <c r="M13" s="43">
        <f t="shared" si="3"/>
        <v>10518.100793812839</v>
      </c>
      <c r="N13" s="43">
        <f t="shared" si="1"/>
        <v>73423.140484454343</v>
      </c>
    </row>
  </sheetData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B3F00"/>
  </sheetPr>
  <dimension ref="A1:N15"/>
  <sheetViews>
    <sheetView zoomScaleNormal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109375" defaultRowHeight="15" x14ac:dyDescent="0.25"/>
  <cols>
    <col min="1" max="1" width="29.85546875" bestFit="1" customWidth="1"/>
    <col min="2" max="13" width="10.42578125" bestFit="1" customWidth="1"/>
    <col min="14" max="14" width="11.5703125" bestFit="1" customWidth="1"/>
    <col min="15" max="15" width="12" customWidth="1"/>
  </cols>
  <sheetData>
    <row r="1" spans="1:14" ht="18" x14ac:dyDescent="0.25">
      <c r="A1" s="1" t="s">
        <v>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85" t="s">
        <v>93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x14ac:dyDescent="0.25">
      <c r="A3" s="33" t="s">
        <v>82</v>
      </c>
      <c r="B3" s="19" t="s">
        <v>25</v>
      </c>
      <c r="C3" s="19" t="s">
        <v>27</v>
      </c>
      <c r="D3" s="19" t="s">
        <v>28</v>
      </c>
      <c r="E3" s="19" t="s">
        <v>30</v>
      </c>
      <c r="F3" s="19" t="s">
        <v>31</v>
      </c>
      <c r="G3" s="19" t="s">
        <v>33</v>
      </c>
      <c r="H3" s="19" t="s">
        <v>34</v>
      </c>
      <c r="I3" s="19" t="s">
        <v>35</v>
      </c>
      <c r="J3" s="19" t="s">
        <v>36</v>
      </c>
      <c r="K3" s="19" t="s">
        <v>37</v>
      </c>
      <c r="L3" s="19" t="s">
        <v>38</v>
      </c>
      <c r="M3" s="19" t="s">
        <v>39</v>
      </c>
      <c r="N3" s="34" t="s">
        <v>40</v>
      </c>
    </row>
    <row r="4" spans="1:14" x14ac:dyDescent="0.25">
      <c r="A4" s="45" t="s">
        <v>83</v>
      </c>
      <c r="B4" s="46">
        <f>'📊 Resultatbudget'!B4</f>
        <v>50000</v>
      </c>
      <c r="C4" s="46">
        <f>'📊 Resultatbudget'!C4</f>
        <v>51000</v>
      </c>
      <c r="D4" s="46">
        <f>'📊 Resultatbudget'!D4</f>
        <v>52020</v>
      </c>
      <c r="E4" s="46">
        <f>'📊 Resultatbudget'!E4</f>
        <v>53060.4</v>
      </c>
      <c r="F4" s="46">
        <f>'📊 Resultatbudget'!F4</f>
        <v>54121.608</v>
      </c>
      <c r="G4" s="46">
        <f>'📊 Resultatbudget'!G4</f>
        <v>55204.040160000004</v>
      </c>
      <c r="H4" s="46">
        <f>'📊 Resultatbudget'!H4</f>
        <v>56308.120963200003</v>
      </c>
      <c r="I4" s="46">
        <f>'📊 Resultatbudget'!I4</f>
        <v>57434.283382464004</v>
      </c>
      <c r="J4" s="46">
        <f>'📊 Resultatbudget'!J4</f>
        <v>58582.969050113286</v>
      </c>
      <c r="K4" s="46">
        <f>'📊 Resultatbudget'!K4</f>
        <v>59754.628431115554</v>
      </c>
      <c r="L4" s="46">
        <f>'📊 Resultatbudget'!L4</f>
        <v>60949.720999737867</v>
      </c>
      <c r="M4" s="46">
        <f>'📊 Resultatbudget'!M4</f>
        <v>62168.715419732624</v>
      </c>
      <c r="N4" s="35">
        <f>SUM(B4:M4)</f>
        <v>670604.48640636331</v>
      </c>
    </row>
    <row r="5" spans="1:14" x14ac:dyDescent="0.25">
      <c r="A5" s="36" t="s">
        <v>94</v>
      </c>
      <c r="B5" s="37">
        <f>B4*'⚙️ Antagelser'!B14</f>
        <v>12500</v>
      </c>
      <c r="C5" s="37">
        <f>C4*'⚙️ Antagelser'!B14</f>
        <v>12750</v>
      </c>
      <c r="D5" s="37">
        <f>D4*'⚙️ Antagelser'!B14</f>
        <v>13005</v>
      </c>
      <c r="E5" s="37">
        <f>E4*'⚙️ Antagelser'!B14</f>
        <v>13265.1</v>
      </c>
      <c r="F5" s="37">
        <f>F4*'⚙️ Antagelser'!B14</f>
        <v>13530.402</v>
      </c>
      <c r="G5" s="37">
        <f>G4*'⚙️ Antagelser'!B14</f>
        <v>13801.010040000001</v>
      </c>
      <c r="H5" s="37">
        <f>H4*'⚙️ Antagelser'!B14</f>
        <v>14077.030240800001</v>
      </c>
      <c r="I5" s="37">
        <f>I4*'⚙️ Antagelser'!B14</f>
        <v>14358.570845616001</v>
      </c>
      <c r="J5" s="37">
        <f>J4*'⚙️ Antagelser'!B14</f>
        <v>14645.742262528322</v>
      </c>
      <c r="K5" s="37">
        <f>K4*'⚙️ Antagelser'!B14</f>
        <v>14938.657107778889</v>
      </c>
      <c r="L5" s="37">
        <f>L4*'⚙️ Antagelser'!B14</f>
        <v>15237.430249934467</v>
      </c>
      <c r="M5" s="37">
        <f>M4*'⚙️ Antagelser'!B14</f>
        <v>15542.178854933156</v>
      </c>
      <c r="N5" s="38">
        <f>SUM(B5:M5)</f>
        <v>167651.12160159083</v>
      </c>
    </row>
    <row r="6" spans="1:14" x14ac:dyDescent="0.25">
      <c r="A6" s="36" t="s">
        <v>95</v>
      </c>
      <c r="B6" s="37">
        <f>'📊 Resultatbudget'!B5</f>
        <v>-15000</v>
      </c>
      <c r="C6" s="37">
        <f>'📊 Resultatbudget'!C5</f>
        <v>-15300</v>
      </c>
      <c r="D6" s="37">
        <f>'📊 Resultatbudget'!D5</f>
        <v>-15606</v>
      </c>
      <c r="E6" s="37">
        <f>'📊 Resultatbudget'!E5</f>
        <v>-15918.119999999999</v>
      </c>
      <c r="F6" s="37">
        <f>'📊 Resultatbudget'!F5</f>
        <v>-16236.482399999999</v>
      </c>
      <c r="G6" s="37">
        <f>'📊 Resultatbudget'!G5</f>
        <v>-16561.212048000001</v>
      </c>
      <c r="H6" s="37">
        <f>'📊 Resultatbudget'!H5</f>
        <v>-16892.436288960002</v>
      </c>
      <c r="I6" s="37">
        <f>'📊 Resultatbudget'!I5</f>
        <v>-17230.285014739202</v>
      </c>
      <c r="J6" s="37">
        <f>'📊 Resultatbudget'!J5</f>
        <v>-17574.890715033984</v>
      </c>
      <c r="K6" s="37">
        <f>'📊 Resultatbudget'!K5</f>
        <v>-17926.388529334665</v>
      </c>
      <c r="L6" s="37">
        <f>'📊 Resultatbudget'!L5</f>
        <v>-18284.916299921359</v>
      </c>
      <c r="M6" s="37">
        <f>'📊 Resultatbudget'!M5</f>
        <v>-18650.614625919785</v>
      </c>
      <c r="N6" s="38">
        <f>SUM(B6:M6)</f>
        <v>-201181.34592190897</v>
      </c>
    </row>
    <row r="7" spans="1:14" x14ac:dyDescent="0.25">
      <c r="A7" s="36" t="s">
        <v>96</v>
      </c>
      <c r="B7" s="37">
        <f>-B6*'⚙️ Antagelser'!B14</f>
        <v>3750</v>
      </c>
      <c r="C7" s="37">
        <f>-C6*'⚙️ Antagelser'!B14</f>
        <v>3825</v>
      </c>
      <c r="D7" s="37">
        <f>-D6*'⚙️ Antagelser'!B14</f>
        <v>3901.5</v>
      </c>
      <c r="E7" s="37">
        <f>-E6*'⚙️ Antagelser'!B14</f>
        <v>3979.5299999999997</v>
      </c>
      <c r="F7" s="37">
        <f>-F6*'⚙️ Antagelser'!B14</f>
        <v>4059.1205999999997</v>
      </c>
      <c r="G7" s="37">
        <f>-G6*'⚙️ Antagelser'!B14</f>
        <v>4140.3030120000003</v>
      </c>
      <c r="H7" s="37">
        <f>-H6*'⚙️ Antagelser'!B14</f>
        <v>4223.1090722400004</v>
      </c>
      <c r="I7" s="37">
        <f>-I6*'⚙️ Antagelser'!B14</f>
        <v>4307.5712536848005</v>
      </c>
      <c r="J7" s="37">
        <f>-J6*'⚙️ Antagelser'!B14</f>
        <v>4393.7226787584959</v>
      </c>
      <c r="K7" s="37">
        <f>-K6*'⚙️ Antagelser'!B14</f>
        <v>4481.5971323336662</v>
      </c>
      <c r="L7" s="37">
        <f>-L6*'⚙️ Antagelser'!B14</f>
        <v>4571.2290749803396</v>
      </c>
      <c r="M7" s="37">
        <f>-M6*'⚙️ Antagelser'!B14</f>
        <v>4662.6536564799462</v>
      </c>
      <c r="N7" s="38">
        <f>SUM(B7:M7)</f>
        <v>50295.336480477243</v>
      </c>
    </row>
    <row r="8" spans="1:14" x14ac:dyDescent="0.25">
      <c r="A8" s="41" t="s">
        <v>97</v>
      </c>
      <c r="B8" s="42">
        <f t="shared" ref="B8:M8" si="0">B5-B7</f>
        <v>8750</v>
      </c>
      <c r="C8" s="42">
        <f t="shared" si="0"/>
        <v>8925</v>
      </c>
      <c r="D8" s="42">
        <f t="shared" si="0"/>
        <v>9103.5</v>
      </c>
      <c r="E8" s="42">
        <f t="shared" si="0"/>
        <v>9285.57</v>
      </c>
      <c r="F8" s="42">
        <f t="shared" si="0"/>
        <v>9471.2813999999998</v>
      </c>
      <c r="G8" s="42">
        <f t="shared" si="0"/>
        <v>9660.7070280000007</v>
      </c>
      <c r="H8" s="42">
        <f t="shared" si="0"/>
        <v>9853.9211685600003</v>
      </c>
      <c r="I8" s="42">
        <f t="shared" si="0"/>
        <v>10050.9995919312</v>
      </c>
      <c r="J8" s="42">
        <f t="shared" si="0"/>
        <v>10252.019583769827</v>
      </c>
      <c r="K8" s="42">
        <f t="shared" si="0"/>
        <v>10457.059975445223</v>
      </c>
      <c r="L8" s="42">
        <f t="shared" si="0"/>
        <v>10666.201174954127</v>
      </c>
      <c r="M8" s="42">
        <f t="shared" si="0"/>
        <v>10879.52519845321</v>
      </c>
      <c r="N8" s="43">
        <f>SUM(B8:M8)</f>
        <v>117355.7851211136</v>
      </c>
    </row>
    <row r="11" spans="1:14" x14ac:dyDescent="0.25">
      <c r="A11" s="4" t="s">
        <v>98</v>
      </c>
      <c r="B11" s="4"/>
      <c r="C11" s="4"/>
      <c r="D11" s="4"/>
      <c r="E11" s="4"/>
    </row>
    <row r="12" spans="1:14" x14ac:dyDescent="0.25">
      <c r="A12" s="40" t="s">
        <v>99</v>
      </c>
      <c r="B12" s="47">
        <f>B8+C8+D8</f>
        <v>26778.5</v>
      </c>
    </row>
    <row r="13" spans="1:14" x14ac:dyDescent="0.25">
      <c r="A13" s="40" t="s">
        <v>100</v>
      </c>
      <c r="B13" s="47">
        <f>E8+F8+G8</f>
        <v>28417.558428</v>
      </c>
    </row>
    <row r="14" spans="1:14" x14ac:dyDescent="0.25">
      <c r="A14" s="40" t="s">
        <v>101</v>
      </c>
      <c r="B14" s="47">
        <f>H8+I8+J8</f>
        <v>30156.940344261027</v>
      </c>
    </row>
    <row r="15" spans="1:14" x14ac:dyDescent="0.25">
      <c r="A15" s="40" t="s">
        <v>102</v>
      </c>
      <c r="B15" s="47">
        <f>K8+L8+M8</f>
        <v>32002.786348852562</v>
      </c>
    </row>
  </sheetData>
  <mergeCells count="3">
    <mergeCell ref="A1:N1"/>
    <mergeCell ref="A2:N2"/>
    <mergeCell ref="A11:E1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4E79"/>
  </sheetPr>
  <dimension ref="A1:N11"/>
  <sheetViews>
    <sheetView zoomScaleNormal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8.7109375" defaultRowHeight="15" x14ac:dyDescent="0.25"/>
  <cols>
    <col min="1" max="1" width="28" bestFit="1" customWidth="1"/>
    <col min="2" max="13" width="10.42578125" bestFit="1" customWidth="1"/>
    <col min="14" max="14" width="11.5703125" bestFit="1" customWidth="1"/>
    <col min="15" max="15" width="12" customWidth="1"/>
  </cols>
  <sheetData>
    <row r="1" spans="1:14" ht="18" x14ac:dyDescent="0.25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85" t="s">
        <v>104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x14ac:dyDescent="0.25">
      <c r="A3" s="33" t="s">
        <v>82</v>
      </c>
      <c r="B3" s="19" t="s">
        <v>25</v>
      </c>
      <c r="C3" s="19" t="s">
        <v>27</v>
      </c>
      <c r="D3" s="19" t="s">
        <v>28</v>
      </c>
      <c r="E3" s="19" t="s">
        <v>30</v>
      </c>
      <c r="F3" s="19" t="s">
        <v>31</v>
      </c>
      <c r="G3" s="19" t="s">
        <v>33</v>
      </c>
      <c r="H3" s="19" t="s">
        <v>34</v>
      </c>
      <c r="I3" s="19" t="s">
        <v>35</v>
      </c>
      <c r="J3" s="19" t="s">
        <v>36</v>
      </c>
      <c r="K3" s="19" t="s">
        <v>37</v>
      </c>
      <c r="L3" s="19" t="s">
        <v>38</v>
      </c>
      <c r="M3" s="19" t="s">
        <v>39</v>
      </c>
      <c r="N3" s="34" t="s">
        <v>40</v>
      </c>
    </row>
    <row r="4" spans="1:14" x14ac:dyDescent="0.25">
      <c r="A4" s="20" t="s">
        <v>105</v>
      </c>
      <c r="B4" s="35">
        <f>'⚙️ Antagelser'!B25-'⚙️ Antagelser'!B22</f>
        <v>80000</v>
      </c>
      <c r="C4" s="35">
        <f t="shared" ref="C4:M4" si="0">B9</f>
        <v>90750</v>
      </c>
      <c r="D4" s="35">
        <f t="shared" si="0"/>
        <v>102375</v>
      </c>
      <c r="E4" s="35">
        <f t="shared" si="0"/>
        <v>114892.5</v>
      </c>
      <c r="F4" s="35">
        <f t="shared" si="0"/>
        <v>128320.35</v>
      </c>
      <c r="G4" s="35">
        <f t="shared" si="0"/>
        <v>142676.75699999998</v>
      </c>
      <c r="H4" s="35">
        <f t="shared" si="0"/>
        <v>157980.29213999998</v>
      </c>
      <c r="I4" s="35">
        <f t="shared" si="0"/>
        <v>174249.89798279997</v>
      </c>
      <c r="J4" s="35">
        <f t="shared" si="0"/>
        <v>191504.89594245597</v>
      </c>
      <c r="K4" s="35">
        <f t="shared" si="0"/>
        <v>209764.99386130512</v>
      </c>
      <c r="L4" s="35">
        <f t="shared" si="0"/>
        <v>229050.29373853121</v>
      </c>
      <c r="M4" s="35">
        <f t="shared" si="0"/>
        <v>249381.29961330182</v>
      </c>
      <c r="N4" s="48"/>
    </row>
    <row r="5" spans="1:14" x14ac:dyDescent="0.25">
      <c r="A5" s="49" t="s">
        <v>106</v>
      </c>
      <c r="B5" s="50">
        <f>'📊 Resultatbudget'!B4*(1+'⚙️ Antagelser'!B14)</f>
        <v>62500</v>
      </c>
      <c r="C5" s="50">
        <f>'📊 Resultatbudget'!C4*(1+'⚙️ Antagelser'!B14)</f>
        <v>63750</v>
      </c>
      <c r="D5" s="50">
        <f>'📊 Resultatbudget'!D4*(1+'⚙️ Antagelser'!B14)</f>
        <v>65025</v>
      </c>
      <c r="E5" s="50">
        <f>'📊 Resultatbudget'!E4*(1+'⚙️ Antagelser'!B14)</f>
        <v>66325.5</v>
      </c>
      <c r="F5" s="50">
        <f>'📊 Resultatbudget'!F4*(1+'⚙️ Antagelser'!B14)</f>
        <v>67652.009999999995</v>
      </c>
      <c r="G5" s="50">
        <f>'📊 Resultatbudget'!G4*(1+'⚙️ Antagelser'!B14)</f>
        <v>69005.050199999998</v>
      </c>
      <c r="H5" s="50">
        <f>'📊 Resultatbudget'!H4*(1+'⚙️ Antagelser'!B14)</f>
        <v>70385.151204000009</v>
      </c>
      <c r="I5" s="50">
        <f>'📊 Resultatbudget'!I4*(1+'⚙️ Antagelser'!B14)</f>
        <v>71792.854228080003</v>
      </c>
      <c r="J5" s="50">
        <f>'📊 Resultatbudget'!J4*(1+'⚙️ Antagelser'!B14)</f>
        <v>73228.711312641608</v>
      </c>
      <c r="K5" s="50">
        <f>'📊 Resultatbudget'!K4*(1+'⚙️ Antagelser'!B14)</f>
        <v>74693.285538894444</v>
      </c>
      <c r="L5" s="50">
        <f>'📊 Resultatbudget'!L4*(1+'⚙️ Antagelser'!B14)</f>
        <v>76187.15124967233</v>
      </c>
      <c r="M5" s="50">
        <f>'📊 Resultatbudget'!M4*(1+'⚙️ Antagelser'!B14)</f>
        <v>77710.894274665785</v>
      </c>
      <c r="N5" s="38">
        <f>SUM(B5:M5)</f>
        <v>838255.60800795408</v>
      </c>
    </row>
    <row r="6" spans="1:14" x14ac:dyDescent="0.25">
      <c r="A6" s="36" t="s">
        <v>107</v>
      </c>
      <c r="B6" s="37">
        <f>-'⚙️ Antagelser'!B19</f>
        <v>-25000</v>
      </c>
      <c r="C6" s="37">
        <f>-'⚙️ Antagelser'!B19</f>
        <v>-25000</v>
      </c>
      <c r="D6" s="37">
        <f>-'⚙️ Antagelser'!B19</f>
        <v>-25000</v>
      </c>
      <c r="E6" s="37">
        <f>-'⚙️ Antagelser'!B19</f>
        <v>-25000</v>
      </c>
      <c r="F6" s="37">
        <f>-'⚙️ Antagelser'!B19</f>
        <v>-25000</v>
      </c>
      <c r="G6" s="37">
        <f>-'⚙️ Antagelser'!B19</f>
        <v>-25000</v>
      </c>
      <c r="H6" s="37">
        <f>-'⚙️ Antagelser'!B19</f>
        <v>-25000</v>
      </c>
      <c r="I6" s="37">
        <f>-'⚙️ Antagelser'!B19</f>
        <v>-25000</v>
      </c>
      <c r="J6" s="37">
        <f>-'⚙️ Antagelser'!B19</f>
        <v>-25000</v>
      </c>
      <c r="K6" s="37">
        <f>-'⚙️ Antagelser'!B19</f>
        <v>-25000</v>
      </c>
      <c r="L6" s="37">
        <f>-'⚙️ Antagelser'!B19</f>
        <v>-25000</v>
      </c>
      <c r="M6" s="37">
        <f>-'⚙️ Antagelser'!B19</f>
        <v>-25000</v>
      </c>
      <c r="N6" s="38">
        <f>SUM(B6:M6)</f>
        <v>-300000</v>
      </c>
    </row>
    <row r="7" spans="1:14" x14ac:dyDescent="0.25">
      <c r="A7" s="36" t="s">
        <v>108</v>
      </c>
      <c r="B7" s="37">
        <f>'📊 Resultatbudget'!B5*(1+'⚙️ Antagelser'!B14)</f>
        <v>-18750</v>
      </c>
      <c r="C7" s="37">
        <f>'📊 Resultatbudget'!C5*(1+'⚙️ Antagelser'!B14)</f>
        <v>-19125</v>
      </c>
      <c r="D7" s="37">
        <f>'📊 Resultatbudget'!D5*(1+'⚙️ Antagelser'!B14)</f>
        <v>-19507.5</v>
      </c>
      <c r="E7" s="37">
        <f>'📊 Resultatbudget'!E5*(1+'⚙️ Antagelser'!B14)</f>
        <v>-19897.649999999998</v>
      </c>
      <c r="F7" s="37">
        <f>'📊 Resultatbudget'!F5*(1+'⚙️ Antagelser'!B14)</f>
        <v>-20295.602999999999</v>
      </c>
      <c r="G7" s="37">
        <f>'📊 Resultatbudget'!G5*(1+'⚙️ Antagelser'!B14)</f>
        <v>-20701.515060000002</v>
      </c>
      <c r="H7" s="37">
        <f>'📊 Resultatbudget'!H5*(1+'⚙️ Antagelser'!B14)</f>
        <v>-21115.545361200002</v>
      </c>
      <c r="I7" s="37">
        <f>'📊 Resultatbudget'!I5*(1+'⚙️ Antagelser'!B14)</f>
        <v>-21537.856268424002</v>
      </c>
      <c r="J7" s="37">
        <f>'📊 Resultatbudget'!J5*(1+'⚙️ Antagelser'!B14)</f>
        <v>-21968.613393792479</v>
      </c>
      <c r="K7" s="37">
        <f>'📊 Resultatbudget'!K5*(1+'⚙️ Antagelser'!B14)</f>
        <v>-22407.985661668332</v>
      </c>
      <c r="L7" s="37">
        <f>'📊 Resultatbudget'!L5*(1+'⚙️ Antagelser'!B14)</f>
        <v>-22856.145374901698</v>
      </c>
      <c r="M7" s="37">
        <f>'📊 Resultatbudget'!M5*(1+'⚙️ Antagelser'!B14)</f>
        <v>-23313.268282399731</v>
      </c>
      <c r="N7" s="38">
        <f>SUM(B7:M7)</f>
        <v>-251476.68240238621</v>
      </c>
    </row>
    <row r="8" spans="1:14" x14ac:dyDescent="0.25">
      <c r="A8" s="36" t="s">
        <v>109</v>
      </c>
      <c r="B8" s="37">
        <f>-(('⚙️ Antagelser'!B20+'⚙️ Antagelser'!B21))</f>
        <v>-8000</v>
      </c>
      <c r="C8" s="37">
        <f>-(('⚙️ Antagelser'!B20+'⚙️ Antagelser'!B21))</f>
        <v>-8000</v>
      </c>
      <c r="D8" s="37">
        <f>-(('⚙️ Antagelser'!B20+'⚙️ Antagelser'!B21))</f>
        <v>-8000</v>
      </c>
      <c r="E8" s="37">
        <f>-(('⚙️ Antagelser'!B20+'⚙️ Antagelser'!B21))</f>
        <v>-8000</v>
      </c>
      <c r="F8" s="37">
        <f>-(('⚙️ Antagelser'!B20+'⚙️ Antagelser'!B21))</f>
        <v>-8000</v>
      </c>
      <c r="G8" s="37">
        <f>-(('⚙️ Antagelser'!B20+'⚙️ Antagelser'!B21))</f>
        <v>-8000</v>
      </c>
      <c r="H8" s="37">
        <f>-(('⚙️ Antagelser'!B20+'⚙️ Antagelser'!B21))</f>
        <v>-8000</v>
      </c>
      <c r="I8" s="37">
        <f>-(('⚙️ Antagelser'!B20+'⚙️ Antagelser'!B21))</f>
        <v>-8000</v>
      </c>
      <c r="J8" s="37">
        <f>-(('⚙️ Antagelser'!B20+'⚙️ Antagelser'!B21))</f>
        <v>-8000</v>
      </c>
      <c r="K8" s="37">
        <f>-(('⚙️ Antagelser'!B20+'⚙️ Antagelser'!B21))</f>
        <v>-8000</v>
      </c>
      <c r="L8" s="37">
        <f>-(('⚙️ Antagelser'!B20+'⚙️ Antagelser'!B21))</f>
        <v>-8000</v>
      </c>
      <c r="M8" s="37">
        <f>-(('⚙️ Antagelser'!B20+'⚙️ Antagelser'!B21))</f>
        <v>-8000</v>
      </c>
      <c r="N8" s="38">
        <f>SUM(B8:M8)</f>
        <v>-96000</v>
      </c>
    </row>
    <row r="9" spans="1:14" x14ac:dyDescent="0.25">
      <c r="A9" s="44" t="s">
        <v>110</v>
      </c>
      <c r="B9" s="43">
        <f t="shared" ref="B9:M9" si="1">SUM(B4:B8)</f>
        <v>90750</v>
      </c>
      <c r="C9" s="43">
        <f t="shared" si="1"/>
        <v>102375</v>
      </c>
      <c r="D9" s="43">
        <f t="shared" si="1"/>
        <v>114892.5</v>
      </c>
      <c r="E9" s="43">
        <f t="shared" si="1"/>
        <v>128320.35</v>
      </c>
      <c r="F9" s="43">
        <f t="shared" si="1"/>
        <v>142676.75699999998</v>
      </c>
      <c r="G9" s="43">
        <f t="shared" si="1"/>
        <v>157980.29213999998</v>
      </c>
      <c r="H9" s="43">
        <f t="shared" si="1"/>
        <v>174249.89798279997</v>
      </c>
      <c r="I9" s="43">
        <f t="shared" si="1"/>
        <v>191504.89594245597</v>
      </c>
      <c r="J9" s="43">
        <f t="shared" si="1"/>
        <v>209764.99386130512</v>
      </c>
      <c r="K9" s="43">
        <f t="shared" si="1"/>
        <v>229050.29373853121</v>
      </c>
      <c r="L9" s="43">
        <f t="shared" si="1"/>
        <v>249381.29961330182</v>
      </c>
      <c r="M9" s="43">
        <f t="shared" si="1"/>
        <v>270778.92560556787</v>
      </c>
      <c r="N9" s="48"/>
    </row>
    <row r="11" spans="1:14" x14ac:dyDescent="0.25">
      <c r="A11" s="86" t="s">
        <v>111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</sheetData>
  <mergeCells count="3">
    <mergeCell ref="A1:N1"/>
    <mergeCell ref="A2:N2"/>
    <mergeCell ref="A11:N11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A235A"/>
  </sheetPr>
  <dimension ref="A1:D25"/>
  <sheetViews>
    <sheetView zoomScaleNormal="100" workbookViewId="0">
      <selection sqref="A1:XFD1048576"/>
    </sheetView>
  </sheetViews>
  <sheetFormatPr defaultColWidth="8.7109375" defaultRowHeight="15" x14ac:dyDescent="0.25"/>
  <cols>
    <col min="1" max="1" width="43.5703125" bestFit="1" customWidth="1"/>
    <col min="2" max="2" width="11.5703125" bestFit="1" customWidth="1"/>
    <col min="3" max="3" width="10.140625" bestFit="1" customWidth="1"/>
    <col min="4" max="4" width="11.85546875" bestFit="1" customWidth="1"/>
  </cols>
  <sheetData>
    <row r="1" spans="1:4" ht="18" x14ac:dyDescent="0.25">
      <c r="A1" s="1" t="s">
        <v>112</v>
      </c>
      <c r="B1" s="1"/>
      <c r="C1" s="1"/>
      <c r="D1" s="1"/>
    </row>
    <row r="2" spans="1:4" x14ac:dyDescent="0.25">
      <c r="A2" s="85" t="s">
        <v>113</v>
      </c>
      <c r="B2" s="85"/>
      <c r="C2" s="85"/>
      <c r="D2" s="85"/>
    </row>
    <row r="3" spans="1:4" x14ac:dyDescent="0.25">
      <c r="A3" s="51" t="s">
        <v>82</v>
      </c>
      <c r="B3" s="52" t="s">
        <v>114</v>
      </c>
      <c r="C3" s="52" t="s">
        <v>115</v>
      </c>
      <c r="D3" s="52" t="s">
        <v>116</v>
      </c>
    </row>
    <row r="4" spans="1:4" x14ac:dyDescent="0.25">
      <c r="A4" s="2" t="s">
        <v>117</v>
      </c>
      <c r="B4" s="2"/>
      <c r="C4" s="2"/>
      <c r="D4" s="2"/>
    </row>
    <row r="5" spans="1:4" x14ac:dyDescent="0.25">
      <c r="A5" s="31" t="s">
        <v>118</v>
      </c>
      <c r="B5" s="24">
        <f>'📊 Resultatbudget'!N13</f>
        <v>73423.140484454343</v>
      </c>
      <c r="C5" s="53">
        <f>'⚙️ Antagelser'!B33</f>
        <v>0.22</v>
      </c>
      <c r="D5" s="24">
        <f>MAX(0,B5*C5)</f>
        <v>16153.090906579955</v>
      </c>
    </row>
    <row r="6" spans="1:4" x14ac:dyDescent="0.25">
      <c r="A6" s="31" t="s">
        <v>119</v>
      </c>
      <c r="B6" s="54">
        <f>B5-D5</f>
        <v>57270.049577874386</v>
      </c>
      <c r="C6" s="55"/>
      <c r="D6" s="55"/>
    </row>
    <row r="8" spans="1:4" x14ac:dyDescent="0.25">
      <c r="A8" s="2" t="s">
        <v>120</v>
      </c>
      <c r="B8" s="2"/>
      <c r="C8" s="2"/>
      <c r="D8" s="2"/>
    </row>
    <row r="9" spans="1:4" x14ac:dyDescent="0.25">
      <c r="A9" s="31" t="s">
        <v>121</v>
      </c>
      <c r="B9" s="29">
        <v>100000</v>
      </c>
    </row>
    <row r="10" spans="1:4" x14ac:dyDescent="0.25">
      <c r="A10" s="31" t="s">
        <v>122</v>
      </c>
      <c r="B10" s="24">
        <f>B9</f>
        <v>100000</v>
      </c>
      <c r="C10" s="53">
        <f>'⚙️ Antagelser'!B34</f>
        <v>0.27</v>
      </c>
      <c r="D10" s="24">
        <f>B9*C10</f>
        <v>27000</v>
      </c>
    </row>
    <row r="11" spans="1:4" x14ac:dyDescent="0.25">
      <c r="A11" s="31" t="s">
        <v>123</v>
      </c>
      <c r="B11" s="54">
        <f>B9-D10</f>
        <v>73000</v>
      </c>
      <c r="C11" s="55"/>
      <c r="D11" s="55"/>
    </row>
    <row r="13" spans="1:4" x14ac:dyDescent="0.25">
      <c r="A13" s="2" t="s">
        <v>124</v>
      </c>
      <c r="B13" s="2"/>
      <c r="C13" s="2"/>
      <c r="D13" s="2"/>
    </row>
    <row r="14" spans="1:4" x14ac:dyDescent="0.25">
      <c r="A14" s="31" t="s">
        <v>125</v>
      </c>
      <c r="B14" s="28">
        <v>220</v>
      </c>
    </row>
    <row r="15" spans="1:4" x14ac:dyDescent="0.25">
      <c r="A15" s="31" t="s">
        <v>126</v>
      </c>
      <c r="B15" s="56">
        <f>'⚙️ Antagelser'!B35</f>
        <v>0</v>
      </c>
    </row>
    <row r="16" spans="1:4" x14ac:dyDescent="0.25">
      <c r="A16" s="31" t="s">
        <v>127</v>
      </c>
      <c r="B16" s="57">
        <f>'⚙️ Antagelser'!B36</f>
        <v>2.23</v>
      </c>
    </row>
    <row r="17" spans="1:4" x14ac:dyDescent="0.25">
      <c r="A17" s="31" t="s">
        <v>128</v>
      </c>
      <c r="B17" s="54">
        <f>B14*B15*B16</f>
        <v>0</v>
      </c>
      <c r="C17" s="55"/>
      <c r="D17" s="55"/>
    </row>
    <row r="19" spans="1:4" x14ac:dyDescent="0.25">
      <c r="A19" s="2" t="s">
        <v>129</v>
      </c>
      <c r="B19" s="2"/>
      <c r="C19" s="2"/>
      <c r="D19" s="2"/>
    </row>
    <row r="20" spans="1:4" x14ac:dyDescent="0.25">
      <c r="A20" s="31" t="s">
        <v>130</v>
      </c>
      <c r="B20" s="24">
        <f>D5</f>
        <v>16153.090906579955</v>
      </c>
    </row>
    <row r="21" spans="1:4" x14ac:dyDescent="0.25">
      <c r="A21" s="31" t="s">
        <v>131</v>
      </c>
      <c r="B21" s="24">
        <f>D10</f>
        <v>27000</v>
      </c>
    </row>
    <row r="22" spans="1:4" x14ac:dyDescent="0.25">
      <c r="A22" s="31" t="s">
        <v>132</v>
      </c>
      <c r="B22" s="24">
        <f>-B17</f>
        <v>0</v>
      </c>
    </row>
    <row r="23" spans="1:4" x14ac:dyDescent="0.25">
      <c r="A23" s="58" t="s">
        <v>133</v>
      </c>
      <c r="B23" s="58">
        <f>IFERROR(D5+D10-B17,0)</f>
        <v>43153.090906579957</v>
      </c>
      <c r="C23" s="58"/>
      <c r="D23" s="58"/>
    </row>
    <row r="25" spans="1:4" x14ac:dyDescent="0.25">
      <c r="A25" s="86" t="s">
        <v>134</v>
      </c>
      <c r="B25" s="86"/>
      <c r="C25" s="86"/>
      <c r="D25" s="86"/>
    </row>
  </sheetData>
  <mergeCells count="7">
    <mergeCell ref="A19:D19"/>
    <mergeCell ref="A25:D25"/>
    <mergeCell ref="A1:D1"/>
    <mergeCell ref="A2:D2"/>
    <mergeCell ref="A4:D4"/>
    <mergeCell ref="A8:D8"/>
    <mergeCell ref="A13:D13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43C0C"/>
  </sheetPr>
  <dimension ref="A1:G29"/>
  <sheetViews>
    <sheetView zoomScaleNormal="100" workbookViewId="0">
      <selection sqref="A1:XFD1048576"/>
    </sheetView>
  </sheetViews>
  <sheetFormatPr defaultColWidth="35.85546875" defaultRowHeight="15" x14ac:dyDescent="0.25"/>
  <cols>
    <col min="1" max="1" width="38.7109375" bestFit="1" customWidth="1"/>
    <col min="2" max="2" width="9.42578125" bestFit="1" customWidth="1"/>
    <col min="3" max="3" width="10.42578125" bestFit="1" customWidth="1"/>
    <col min="4" max="4" width="35.42578125" bestFit="1" customWidth="1"/>
    <col min="5" max="6" width="6.5703125" bestFit="1" customWidth="1"/>
    <col min="7" max="7" width="26" bestFit="1" customWidth="1"/>
  </cols>
  <sheetData>
    <row r="1" spans="1:4" ht="18" x14ac:dyDescent="0.25">
      <c r="A1" s="1" t="s">
        <v>135</v>
      </c>
      <c r="B1" s="1"/>
      <c r="C1" s="1"/>
      <c r="D1" s="1"/>
    </row>
    <row r="2" spans="1:4" x14ac:dyDescent="0.25">
      <c r="A2" s="85" t="s">
        <v>136</v>
      </c>
      <c r="B2" s="85"/>
      <c r="C2" s="85"/>
      <c r="D2" s="85"/>
    </row>
    <row r="3" spans="1:4" x14ac:dyDescent="0.25">
      <c r="A3" s="2" t="s">
        <v>137</v>
      </c>
      <c r="B3" s="2"/>
      <c r="C3" s="2"/>
      <c r="D3" s="2"/>
    </row>
    <row r="4" spans="1:4" x14ac:dyDescent="0.25">
      <c r="A4" s="31" t="s">
        <v>138</v>
      </c>
      <c r="B4" s="24">
        <f>'⚙️ Antagelser'!B39</f>
        <v>500</v>
      </c>
    </row>
    <row r="5" spans="1:4" x14ac:dyDescent="0.25">
      <c r="A5" s="31" t="s">
        <v>139</v>
      </c>
      <c r="B5" s="24">
        <f>'⚙️ Antagelser'!B40</f>
        <v>150</v>
      </c>
    </row>
    <row r="6" spans="1:4" x14ac:dyDescent="0.25">
      <c r="A6" s="31" t="s">
        <v>140</v>
      </c>
      <c r="B6" s="54">
        <f>B4-B5</f>
        <v>350</v>
      </c>
    </row>
    <row r="7" spans="1:4" x14ac:dyDescent="0.25">
      <c r="A7" s="31" t="s">
        <v>15</v>
      </c>
      <c r="B7" s="59">
        <f>IF(B4=0,0,(B4-B5)/B4)</f>
        <v>0.7</v>
      </c>
    </row>
    <row r="9" spans="1:4" x14ac:dyDescent="0.25">
      <c r="A9" s="2" t="s">
        <v>141</v>
      </c>
      <c r="B9" s="2"/>
      <c r="C9" s="2"/>
      <c r="D9" s="2"/>
    </row>
    <row r="10" spans="1:4" x14ac:dyDescent="0.25">
      <c r="A10" s="18" t="s">
        <v>82</v>
      </c>
      <c r="B10" s="19" t="s">
        <v>142</v>
      </c>
      <c r="C10" s="19" t="s">
        <v>143</v>
      </c>
    </row>
    <row r="11" spans="1:4" x14ac:dyDescent="0.25">
      <c r="A11" s="31" t="s">
        <v>144</v>
      </c>
      <c r="B11" s="24">
        <f>'⚙️ Antagelser'!B19</f>
        <v>25000</v>
      </c>
      <c r="C11" s="24">
        <f>B11*12</f>
        <v>300000</v>
      </c>
    </row>
    <row r="12" spans="1:4" x14ac:dyDescent="0.25">
      <c r="A12" s="31" t="s">
        <v>145</v>
      </c>
      <c r="B12" s="24">
        <f>'⚙️ Antagelser'!B20</f>
        <v>5000</v>
      </c>
      <c r="C12" s="24">
        <f>B12*12</f>
        <v>60000</v>
      </c>
    </row>
    <row r="13" spans="1:4" x14ac:dyDescent="0.25">
      <c r="A13" s="31" t="s">
        <v>146</v>
      </c>
      <c r="B13" s="24">
        <f>'⚙️ Antagelser'!B21</f>
        <v>3000</v>
      </c>
      <c r="C13" s="24">
        <f>B13*12</f>
        <v>36000</v>
      </c>
    </row>
    <row r="14" spans="1:4" x14ac:dyDescent="0.25">
      <c r="A14" s="31" t="s">
        <v>147</v>
      </c>
      <c r="B14" s="24">
        <f>'⚙️ Antagelser'!B26*'⚙️ Antagelser'!B27/12</f>
        <v>0</v>
      </c>
      <c r="C14" s="24">
        <f>B14*12</f>
        <v>0</v>
      </c>
    </row>
    <row r="15" spans="1:4" x14ac:dyDescent="0.25">
      <c r="A15" s="20" t="s">
        <v>148</v>
      </c>
      <c r="B15" s="22">
        <f>SUM(B11:B14)</f>
        <v>33000</v>
      </c>
      <c r="C15" s="22">
        <f>SUM(C11:C14)</f>
        <v>396000</v>
      </c>
    </row>
    <row r="17" spans="1:7" x14ac:dyDescent="0.25">
      <c r="A17" s="2" t="s">
        <v>149</v>
      </c>
      <c r="B17" s="2"/>
      <c r="C17" s="2"/>
      <c r="D17" s="2"/>
    </row>
    <row r="18" spans="1:7" x14ac:dyDescent="0.25">
      <c r="A18" s="18" t="s">
        <v>150</v>
      </c>
      <c r="B18" s="19" t="s">
        <v>142</v>
      </c>
      <c r="C18" s="19" t="s">
        <v>143</v>
      </c>
      <c r="D18" s="19" t="s">
        <v>151</v>
      </c>
    </row>
    <row r="19" spans="1:7" ht="24" x14ac:dyDescent="0.25">
      <c r="A19" s="23" t="s">
        <v>152</v>
      </c>
      <c r="B19" s="60">
        <f>IF(B6=0,"N/A",CEILING(B15/B6,1))</f>
        <v>95</v>
      </c>
      <c r="C19" s="60">
        <f>IF(B6=0,"N/A",CEILING(C15/B6,1))</f>
        <v>1132</v>
      </c>
      <c r="D19" s="61" t="s">
        <v>153</v>
      </c>
    </row>
    <row r="20" spans="1:7" ht="24" x14ac:dyDescent="0.25">
      <c r="A20" s="23" t="s">
        <v>154</v>
      </c>
      <c r="B20" s="62">
        <f>IF(B7=0,"N/A",B15/B7)</f>
        <v>47142.857142857145</v>
      </c>
      <c r="C20" s="62">
        <f>IF(B7=0,"N/A",C15/B7)</f>
        <v>565714.2857142858</v>
      </c>
      <c r="D20" s="61" t="s">
        <v>155</v>
      </c>
    </row>
    <row r="21" spans="1:7" x14ac:dyDescent="0.25">
      <c r="A21" s="23" t="s">
        <v>156</v>
      </c>
      <c r="B21" s="62">
        <f>IFERROR('📊 Resultatbudget'!B4-B20,0)</f>
        <v>2857.1428571428551</v>
      </c>
      <c r="C21" s="62">
        <f>IFERROR('📊 Resultatbudget'!N4-C20,0)</f>
        <v>104890.20069207752</v>
      </c>
      <c r="D21" s="61" t="s">
        <v>157</v>
      </c>
    </row>
    <row r="22" spans="1:7" x14ac:dyDescent="0.25">
      <c r="A22" s="23" t="s">
        <v>158</v>
      </c>
      <c r="B22" s="63">
        <f>IFERROR(IF('📊 Resultatbudget'!B4=0,0,B21/'📊 Resultatbudget'!B4),0)</f>
        <v>5.7142857142857099E-2</v>
      </c>
      <c r="C22" s="63">
        <f>IFERROR(IF('📊 Resultatbudget'!N4=0,0,C21/'📊 Resultatbudget'!N4),0)</f>
        <v>0.15641142106603453</v>
      </c>
      <c r="D22" s="61" t="s">
        <v>159</v>
      </c>
    </row>
    <row r="23" spans="1:7" ht="24" x14ac:dyDescent="0.25">
      <c r="A23" s="23" t="s">
        <v>160</v>
      </c>
      <c r="B23" s="64">
        <f>IF(OR('📊 Resultatbudget'!B13&lt;=0,B6&lt;=0),"Se tabel",IFERROR(CEILING('⚙️ Antagelser'!B22/('📊 Resultatbudget'!B13),1),"N/A"))</f>
        <v>10</v>
      </c>
      <c r="C23" s="48"/>
      <c r="D23" s="61" t="s">
        <v>161</v>
      </c>
    </row>
    <row r="24" spans="1:7" x14ac:dyDescent="0.25">
      <c r="A24" s="58" t="s">
        <v>162</v>
      </c>
      <c r="B24" s="58">
        <f>B20</f>
        <v>47142.857142857145</v>
      </c>
      <c r="C24" s="58">
        <f>C20</f>
        <v>565714.2857142858</v>
      </c>
      <c r="D24" s="58"/>
    </row>
    <row r="27" spans="1:7" x14ac:dyDescent="0.25">
      <c r="A27" s="2" t="s">
        <v>163</v>
      </c>
      <c r="B27" s="2"/>
      <c r="C27" s="2"/>
      <c r="D27" s="2"/>
    </row>
    <row r="28" spans="1:7" x14ac:dyDescent="0.25">
      <c r="A28" s="19" t="s">
        <v>164</v>
      </c>
      <c r="B28" s="19" t="s">
        <v>165</v>
      </c>
      <c r="C28" s="19" t="s">
        <v>166</v>
      </c>
      <c r="D28" s="19" t="s">
        <v>167</v>
      </c>
      <c r="E28" s="19" t="s">
        <v>168</v>
      </c>
      <c r="F28" s="19" t="s">
        <v>169</v>
      </c>
      <c r="G28" s="65" t="s">
        <v>170</v>
      </c>
    </row>
    <row r="29" spans="1:7" x14ac:dyDescent="0.25">
      <c r="A29" s="66">
        <f>IF((300-B5)&lt;=0,"Umulig",CEILING(B15/(300-B5),1))</f>
        <v>220</v>
      </c>
      <c r="B29" s="66">
        <f>IF((400-B5)&lt;=0,"Umulig",CEILING(B15/(400-B5),1))</f>
        <v>132</v>
      </c>
      <c r="C29" s="66">
        <f>IF((500-B5)&lt;=0,"Umulig",CEILING(B15/(500-B5),1))</f>
        <v>95</v>
      </c>
      <c r="D29" s="66">
        <f>IF((600-B5)&lt;=0,"Umulig",CEILING(B15/(600-B5),1))</f>
        <v>74</v>
      </c>
      <c r="E29" s="66">
        <f>IF((700-B5)&lt;=0,"Umulig",CEILING(B15/(700-B5),1))</f>
        <v>60</v>
      </c>
      <c r="F29" s="66">
        <f>IF((800-B5)&lt;=0,"Umulig",CEILING(B15/(800-B5),1))</f>
        <v>51</v>
      </c>
      <c r="G29" s="67" t="s">
        <v>171</v>
      </c>
    </row>
  </sheetData>
  <mergeCells count="6">
    <mergeCell ref="A27:D27"/>
    <mergeCell ref="A1:D1"/>
    <mergeCell ref="A2:D2"/>
    <mergeCell ref="A3:D3"/>
    <mergeCell ref="A9:D9"/>
    <mergeCell ref="A17:D17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A5276"/>
  </sheetPr>
  <dimension ref="A1:F34"/>
  <sheetViews>
    <sheetView zoomScaleNormal="100" workbookViewId="0">
      <selection sqref="A1:XFD1048576"/>
    </sheetView>
  </sheetViews>
  <sheetFormatPr defaultColWidth="8.7109375" defaultRowHeight="15" x14ac:dyDescent="0.25"/>
  <cols>
    <col min="1" max="1" width="35.140625" bestFit="1" customWidth="1"/>
    <col min="2" max="5" width="15.5703125" bestFit="1" customWidth="1"/>
    <col min="6" max="6" width="20" customWidth="1"/>
  </cols>
  <sheetData>
    <row r="1" spans="1:6" ht="19.5" x14ac:dyDescent="0.25">
      <c r="A1" s="87" t="s">
        <v>172</v>
      </c>
      <c r="B1" s="87"/>
      <c r="C1" s="87"/>
      <c r="D1" s="87"/>
      <c r="E1" s="87"/>
      <c r="F1" s="87"/>
    </row>
    <row r="2" spans="1:6" x14ac:dyDescent="0.25">
      <c r="A2" s="85" t="s">
        <v>173</v>
      </c>
      <c r="B2" s="85"/>
      <c r="C2" s="85"/>
      <c r="D2" s="85"/>
      <c r="E2" s="85"/>
      <c r="F2" s="85"/>
    </row>
    <row r="3" spans="1:6" x14ac:dyDescent="0.25">
      <c r="A3" s="2" t="s">
        <v>174</v>
      </c>
      <c r="B3" s="2"/>
      <c r="C3" s="2"/>
      <c r="D3" s="2"/>
      <c r="E3" s="2"/>
      <c r="F3" s="2"/>
    </row>
    <row r="4" spans="1:6" x14ac:dyDescent="0.25">
      <c r="A4" s="18" t="s">
        <v>82</v>
      </c>
      <c r="B4" s="19" t="s">
        <v>175</v>
      </c>
      <c r="C4" s="19" t="s">
        <v>176</v>
      </c>
      <c r="D4" s="19" t="s">
        <v>177</v>
      </c>
      <c r="E4" s="19" t="s">
        <v>178</v>
      </c>
    </row>
    <row r="5" spans="1:6" x14ac:dyDescent="0.25">
      <c r="A5" s="31" t="s">
        <v>179</v>
      </c>
      <c r="B5" s="20" t="s">
        <v>175</v>
      </c>
      <c r="C5" s="20" t="s">
        <v>176</v>
      </c>
      <c r="D5" s="20" t="s">
        <v>177</v>
      </c>
      <c r="E5" s="20" t="s">
        <v>178</v>
      </c>
    </row>
    <row r="6" spans="1:6" x14ac:dyDescent="0.25">
      <c r="A6" s="31" t="s">
        <v>180</v>
      </c>
      <c r="B6" s="29">
        <v>35000</v>
      </c>
      <c r="C6" s="29">
        <v>35000</v>
      </c>
      <c r="D6" s="29">
        <v>35000</v>
      </c>
      <c r="E6" s="29">
        <v>35000</v>
      </c>
    </row>
    <row r="7" spans="1:6" x14ac:dyDescent="0.25">
      <c r="A7" s="31" t="s">
        <v>181</v>
      </c>
      <c r="B7" s="30">
        <v>0.38</v>
      </c>
      <c r="C7" s="30">
        <v>0.38</v>
      </c>
      <c r="D7" s="30">
        <v>0.38</v>
      </c>
      <c r="E7" s="30">
        <v>0.38</v>
      </c>
    </row>
    <row r="8" spans="1:6" x14ac:dyDescent="0.25">
      <c r="A8" s="31" t="s">
        <v>182</v>
      </c>
      <c r="B8" s="29">
        <v>46600</v>
      </c>
      <c r="C8" s="29">
        <v>46600</v>
      </c>
      <c r="D8" s="29">
        <v>46600</v>
      </c>
      <c r="E8" s="29">
        <v>46600</v>
      </c>
    </row>
    <row r="9" spans="1:6" x14ac:dyDescent="0.25">
      <c r="A9" s="2" t="s">
        <v>183</v>
      </c>
      <c r="B9" s="2"/>
      <c r="C9" s="2"/>
      <c r="D9" s="2"/>
      <c r="E9" s="2"/>
      <c r="F9" s="2"/>
    </row>
    <row r="10" spans="1:6" x14ac:dyDescent="0.25">
      <c r="A10" s="18" t="s">
        <v>150</v>
      </c>
      <c r="B10" s="19" t="s">
        <v>175</v>
      </c>
      <c r="C10" s="19" t="s">
        <v>176</v>
      </c>
      <c r="D10" s="19" t="s">
        <v>177</v>
      </c>
      <c r="E10" s="19" t="s">
        <v>178</v>
      </c>
    </row>
    <row r="11" spans="1:6" x14ac:dyDescent="0.25">
      <c r="A11" s="31" t="s">
        <v>184</v>
      </c>
      <c r="B11" s="24">
        <f>-B6*0.08</f>
        <v>-2800</v>
      </c>
      <c r="C11" s="24">
        <f>-C6*0.08</f>
        <v>-2800</v>
      </c>
      <c r="D11" s="24">
        <f>-D6*0.08</f>
        <v>-2800</v>
      </c>
      <c r="E11" s="24">
        <f>-E6*0.08</f>
        <v>-2800</v>
      </c>
    </row>
    <row r="12" spans="1:6" x14ac:dyDescent="0.25">
      <c r="A12" s="31" t="s">
        <v>185</v>
      </c>
      <c r="B12" s="24">
        <f>B6+B11</f>
        <v>32200</v>
      </c>
      <c r="C12" s="24">
        <f>C6+C11</f>
        <v>32200</v>
      </c>
      <c r="D12" s="24">
        <f>D6+D11</f>
        <v>32200</v>
      </c>
      <c r="E12" s="24">
        <f>E6+E11</f>
        <v>32200</v>
      </c>
    </row>
    <row r="13" spans="1:6" x14ac:dyDescent="0.25">
      <c r="A13" s="31" t="s">
        <v>186</v>
      </c>
      <c r="B13" s="24">
        <f>B8/12</f>
        <v>3883.3333333333335</v>
      </c>
      <c r="C13" s="24">
        <f>C8/12</f>
        <v>3883.3333333333335</v>
      </c>
      <c r="D13" s="24">
        <f>D8/12</f>
        <v>3883.3333333333335</v>
      </c>
      <c r="E13" s="24">
        <f>E8/12</f>
        <v>3883.3333333333335</v>
      </c>
    </row>
    <row r="14" spans="1:6" x14ac:dyDescent="0.25">
      <c r="A14" s="31" t="s">
        <v>187</v>
      </c>
      <c r="B14" s="24">
        <f>MAX(0,B12-B13)</f>
        <v>28316.666666666668</v>
      </c>
      <c r="C14" s="24">
        <f>MAX(0,C12-C13)</f>
        <v>28316.666666666668</v>
      </c>
      <c r="D14" s="24">
        <f>MAX(0,D12-D13)</f>
        <v>28316.666666666668</v>
      </c>
      <c r="E14" s="24">
        <f>MAX(0,E12-E13)</f>
        <v>28316.666666666668</v>
      </c>
    </row>
    <row r="15" spans="1:6" x14ac:dyDescent="0.25">
      <c r="A15" s="31" t="s">
        <v>188</v>
      </c>
      <c r="B15" s="24">
        <f>-B14*B7</f>
        <v>-10760.333333333334</v>
      </c>
      <c r="C15" s="24">
        <f>-C14*C7</f>
        <v>-10760.333333333334</v>
      </c>
      <c r="D15" s="24">
        <f>-D14*D7</f>
        <v>-10760.333333333334</v>
      </c>
      <c r="E15" s="24">
        <f>-E14*E7</f>
        <v>-10760.333333333334</v>
      </c>
    </row>
    <row r="16" spans="1:6" x14ac:dyDescent="0.25">
      <c r="A16" s="20" t="s">
        <v>189</v>
      </c>
      <c r="B16" s="54">
        <f>B6+B11+B15</f>
        <v>21439.666666666664</v>
      </c>
      <c r="C16" s="54">
        <f>C6+C11+C15</f>
        <v>21439.666666666664</v>
      </c>
      <c r="D16" s="54">
        <f>D6+D11+D15</f>
        <v>21439.666666666664</v>
      </c>
      <c r="E16" s="54">
        <f>E6+E11+E15</f>
        <v>21439.666666666664</v>
      </c>
    </row>
    <row r="17" spans="1:6" x14ac:dyDescent="0.25">
      <c r="A17" s="31" t="s">
        <v>190</v>
      </c>
      <c r="B17" s="24">
        <f>-370.35</f>
        <v>-370.35</v>
      </c>
      <c r="C17" s="24">
        <f>-370.35</f>
        <v>-370.35</v>
      </c>
      <c r="D17" s="24">
        <f>-370.35</f>
        <v>-370.35</v>
      </c>
      <c r="E17" s="24">
        <f>-370.35</f>
        <v>-370.35</v>
      </c>
    </row>
    <row r="18" spans="1:6" x14ac:dyDescent="0.25">
      <c r="A18" s="20" t="s">
        <v>191</v>
      </c>
      <c r="B18" s="54">
        <f>B6-B17</f>
        <v>35370.35</v>
      </c>
      <c r="C18" s="54">
        <f>C6-C17</f>
        <v>35370.35</v>
      </c>
      <c r="D18" s="54">
        <f>D6-D17</f>
        <v>35370.35</v>
      </c>
      <c r="E18" s="54">
        <f>E6-E17</f>
        <v>35370.35</v>
      </c>
    </row>
    <row r="20" spans="1:6" x14ac:dyDescent="0.25">
      <c r="A20" s="2" t="s">
        <v>192</v>
      </c>
      <c r="B20" s="2"/>
      <c r="C20" s="2"/>
      <c r="D20" s="2"/>
      <c r="E20" s="2"/>
      <c r="F20" s="2"/>
    </row>
    <row r="21" spans="1:6" x14ac:dyDescent="0.25">
      <c r="A21" s="18" t="s">
        <v>150</v>
      </c>
      <c r="B21" s="19" t="s">
        <v>175</v>
      </c>
      <c r="C21" s="19" t="s">
        <v>176</v>
      </c>
      <c r="D21" s="19" t="s">
        <v>177</v>
      </c>
      <c r="E21" s="19" t="s">
        <v>178</v>
      </c>
    </row>
    <row r="22" spans="1:6" x14ac:dyDescent="0.25">
      <c r="A22" s="31" t="s">
        <v>193</v>
      </c>
      <c r="B22" s="24">
        <f>B6*0.125</f>
        <v>4375</v>
      </c>
      <c r="C22" s="24">
        <f>C6*0.125</f>
        <v>4375</v>
      </c>
      <c r="D22" s="24">
        <f>D6*0.125</f>
        <v>4375</v>
      </c>
      <c r="E22" s="24">
        <f>E6*0.125</f>
        <v>4375</v>
      </c>
    </row>
    <row r="23" spans="1:6" x14ac:dyDescent="0.25">
      <c r="A23" s="20" t="s">
        <v>194</v>
      </c>
      <c r="B23" s="54">
        <f>B22*12</f>
        <v>52500</v>
      </c>
      <c r="C23" s="54">
        <f>C22*12</f>
        <v>52500</v>
      </c>
      <c r="D23" s="54">
        <f>D22*12</f>
        <v>52500</v>
      </c>
      <c r="E23" s="54">
        <f>E22*12</f>
        <v>52500</v>
      </c>
    </row>
    <row r="25" spans="1:6" x14ac:dyDescent="0.25">
      <c r="A25" s="2" t="s">
        <v>195</v>
      </c>
      <c r="B25" s="2"/>
      <c r="C25" s="2"/>
      <c r="D25" s="2"/>
      <c r="E25" s="2"/>
      <c r="F25" s="2"/>
    </row>
    <row r="26" spans="1:6" x14ac:dyDescent="0.25">
      <c r="A26" s="31" t="s">
        <v>196</v>
      </c>
      <c r="B26" s="24">
        <f>SUM(B6:E6)</f>
        <v>140000</v>
      </c>
      <c r="C26" s="68"/>
      <c r="D26" s="68"/>
      <c r="E26" s="68"/>
      <c r="F26" s="68"/>
    </row>
    <row r="27" spans="1:6" x14ac:dyDescent="0.25">
      <c r="A27" s="31" t="s">
        <v>197</v>
      </c>
      <c r="B27" s="24">
        <f>SUM(B16:E16)</f>
        <v>85758.666666666657</v>
      </c>
      <c r="C27" s="68"/>
      <c r="D27" s="68"/>
      <c r="E27" s="68"/>
      <c r="F27" s="68"/>
    </row>
    <row r="28" spans="1:6" x14ac:dyDescent="0.25">
      <c r="A28" s="31" t="s">
        <v>198</v>
      </c>
      <c r="B28" s="24">
        <f>SUM(B11:E11)</f>
        <v>-11200</v>
      </c>
      <c r="C28" s="68"/>
      <c r="D28" s="68"/>
      <c r="E28" s="68"/>
      <c r="F28" s="68"/>
    </row>
    <row r="29" spans="1:6" x14ac:dyDescent="0.25">
      <c r="A29" s="31" t="s">
        <v>199</v>
      </c>
      <c r="B29" s="24">
        <f>SUM(B15:E15)</f>
        <v>-43041.333333333336</v>
      </c>
      <c r="C29" s="68"/>
      <c r="D29" s="68"/>
      <c r="E29" s="68"/>
      <c r="F29" s="68"/>
    </row>
    <row r="30" spans="1:6" x14ac:dyDescent="0.25">
      <c r="A30" s="31" t="s">
        <v>200</v>
      </c>
      <c r="B30" s="24">
        <f>SUM(B22:E22)</f>
        <v>17500</v>
      </c>
      <c r="C30" s="68"/>
      <c r="D30" s="68"/>
      <c r="E30" s="68"/>
      <c r="F30" s="68"/>
    </row>
    <row r="31" spans="1:6" x14ac:dyDescent="0.25">
      <c r="A31" s="20" t="s">
        <v>201</v>
      </c>
      <c r="B31" s="54">
        <f>SUM(B18:E18)</f>
        <v>141481.4</v>
      </c>
      <c r="C31" s="55"/>
      <c r="D31" s="55"/>
      <c r="E31" s="55"/>
      <c r="F31" s="55"/>
    </row>
    <row r="32" spans="1:6" x14ac:dyDescent="0.25">
      <c r="A32" s="20" t="s">
        <v>202</v>
      </c>
      <c r="B32" s="54">
        <f>SUM(B18:E18)*12</f>
        <v>1697776.7999999998</v>
      </c>
      <c r="C32" s="55"/>
      <c r="D32" s="55"/>
      <c r="E32" s="55"/>
      <c r="F32" s="55"/>
    </row>
    <row r="34" spans="1:6" x14ac:dyDescent="0.25">
      <c r="A34" s="88" t="s">
        <v>203</v>
      </c>
      <c r="B34" s="88"/>
      <c r="C34" s="88"/>
      <c r="D34" s="88"/>
      <c r="E34" s="88"/>
      <c r="F34" s="88"/>
    </row>
  </sheetData>
  <mergeCells count="7">
    <mergeCell ref="A25:F25"/>
    <mergeCell ref="A34:F34"/>
    <mergeCell ref="A1:F1"/>
    <mergeCell ref="A2:F2"/>
    <mergeCell ref="A3:F3"/>
    <mergeCell ref="A9:F9"/>
    <mergeCell ref="A20:F20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45A32"/>
  </sheetPr>
  <dimension ref="A1:F31"/>
  <sheetViews>
    <sheetView zoomScaleNormal="100" workbookViewId="0">
      <selection sqref="A1:XFD1048576"/>
    </sheetView>
  </sheetViews>
  <sheetFormatPr defaultColWidth="31.85546875" defaultRowHeight="15" x14ac:dyDescent="0.25"/>
  <cols>
    <col min="1" max="1" width="41.85546875" bestFit="1" customWidth="1"/>
    <col min="2" max="4" width="11.5703125" bestFit="1" customWidth="1"/>
  </cols>
  <sheetData>
    <row r="1" spans="1:6" ht="19.5" x14ac:dyDescent="0.25">
      <c r="A1" s="87" t="s">
        <v>204</v>
      </c>
      <c r="B1" s="87"/>
      <c r="C1" s="87"/>
      <c r="D1" s="87"/>
      <c r="E1" s="87"/>
      <c r="F1" s="87"/>
    </row>
    <row r="2" spans="1:6" x14ac:dyDescent="0.25">
      <c r="A2" s="85" t="s">
        <v>205</v>
      </c>
      <c r="B2" s="85"/>
      <c r="C2" s="85"/>
      <c r="D2" s="85"/>
      <c r="E2" s="85"/>
      <c r="F2" s="85"/>
    </row>
    <row r="3" spans="1:6" x14ac:dyDescent="0.25">
      <c r="A3" s="2" t="s">
        <v>206</v>
      </c>
      <c r="B3" s="2"/>
      <c r="C3" s="2"/>
      <c r="D3" s="2"/>
    </row>
    <row r="4" spans="1:6" x14ac:dyDescent="0.25">
      <c r="A4" s="18" t="s">
        <v>82</v>
      </c>
      <c r="B4" s="19" t="s">
        <v>207</v>
      </c>
      <c r="C4" s="19" t="s">
        <v>208</v>
      </c>
      <c r="D4" s="19" t="s">
        <v>209</v>
      </c>
    </row>
    <row r="5" spans="1:6" x14ac:dyDescent="0.25">
      <c r="A5" s="31" t="s">
        <v>210</v>
      </c>
      <c r="B5" s="69" t="s">
        <v>211</v>
      </c>
      <c r="C5" s="69" t="s">
        <v>212</v>
      </c>
      <c r="D5" s="69" t="s">
        <v>213</v>
      </c>
    </row>
    <row r="6" spans="1:6" x14ac:dyDescent="0.25">
      <c r="A6" s="31" t="s">
        <v>214</v>
      </c>
      <c r="B6" s="29">
        <v>50000</v>
      </c>
      <c r="C6" s="29">
        <v>20000</v>
      </c>
      <c r="D6" s="29">
        <v>15000</v>
      </c>
    </row>
    <row r="7" spans="1:6" x14ac:dyDescent="0.25">
      <c r="A7" s="31" t="s">
        <v>215</v>
      </c>
      <c r="B7" s="29">
        <v>25000</v>
      </c>
      <c r="C7" s="29">
        <v>18000</v>
      </c>
      <c r="D7" s="29">
        <v>8000</v>
      </c>
    </row>
    <row r="8" spans="1:6" x14ac:dyDescent="0.25">
      <c r="A8" s="31" t="s">
        <v>216</v>
      </c>
      <c r="B8" s="29">
        <v>5000</v>
      </c>
      <c r="C8" s="29">
        <v>2000</v>
      </c>
      <c r="D8" s="29">
        <v>3000</v>
      </c>
    </row>
    <row r="9" spans="1:6" x14ac:dyDescent="0.25">
      <c r="A9" s="31" t="s">
        <v>217</v>
      </c>
      <c r="B9" s="29">
        <v>3000</v>
      </c>
      <c r="C9" s="29">
        <v>1000</v>
      </c>
      <c r="D9" s="29">
        <v>2000</v>
      </c>
    </row>
    <row r="10" spans="1:6" x14ac:dyDescent="0.25">
      <c r="A10" s="31" t="s">
        <v>218</v>
      </c>
      <c r="B10" s="30">
        <v>0.05</v>
      </c>
      <c r="C10" s="30">
        <v>0.05</v>
      </c>
      <c r="D10" s="30">
        <v>0.05</v>
      </c>
    </row>
    <row r="11" spans="1:6" x14ac:dyDescent="0.25">
      <c r="A11" s="31" t="s">
        <v>219</v>
      </c>
      <c r="B11" s="70">
        <v>5</v>
      </c>
      <c r="C11" s="70">
        <v>3</v>
      </c>
      <c r="D11" s="70">
        <v>4</v>
      </c>
    </row>
    <row r="13" spans="1:6" x14ac:dyDescent="0.25">
      <c r="A13" s="2" t="s">
        <v>220</v>
      </c>
      <c r="B13" s="2"/>
      <c r="C13" s="2"/>
      <c r="D13" s="2"/>
    </row>
    <row r="14" spans="1:6" x14ac:dyDescent="0.25">
      <c r="A14" s="18" t="s">
        <v>23</v>
      </c>
      <c r="B14" s="19" t="s">
        <v>207</v>
      </c>
      <c r="C14" s="19" t="s">
        <v>208</v>
      </c>
      <c r="D14" s="19" t="s">
        <v>209</v>
      </c>
    </row>
    <row r="15" spans="1:6" x14ac:dyDescent="0.25">
      <c r="A15" s="31" t="s">
        <v>221</v>
      </c>
      <c r="B15" s="24">
        <f>B7+B8-B9</f>
        <v>27000</v>
      </c>
      <c r="C15" s="24">
        <f>C7+C8-C9</f>
        <v>19000</v>
      </c>
      <c r="D15" s="24">
        <f>D7+D8-D9</f>
        <v>9000</v>
      </c>
    </row>
    <row r="16" spans="1:6" x14ac:dyDescent="0.25">
      <c r="A16" s="20" t="s">
        <v>222</v>
      </c>
      <c r="B16" s="59">
        <f>IFERROR(B15/B6,0)</f>
        <v>0.54</v>
      </c>
      <c r="C16" s="59">
        <f>IFERROR(C15/C6,0)</f>
        <v>0.95</v>
      </c>
      <c r="D16" s="59">
        <f>IFERROR(D15/D6,0)</f>
        <v>0.6</v>
      </c>
    </row>
    <row r="17" spans="1:4" x14ac:dyDescent="0.25">
      <c r="A17" s="20" t="s">
        <v>223</v>
      </c>
      <c r="B17" s="71">
        <f>IFERROR(B6/B15,0)</f>
        <v>1.8518518518518519</v>
      </c>
      <c r="C17" s="71">
        <f>IFERROR(C6/C15,0)</f>
        <v>1.0526315789473684</v>
      </c>
      <c r="D17" s="71">
        <f>IFERROR(D6/D15,0)</f>
        <v>1.6666666666666667</v>
      </c>
    </row>
    <row r="18" spans="1:4" x14ac:dyDescent="0.25">
      <c r="A18" s="31" t="s">
        <v>224</v>
      </c>
      <c r="B18" s="24">
        <f>B15*B11</f>
        <v>135000</v>
      </c>
      <c r="C18" s="24">
        <f>C15*C11</f>
        <v>57000</v>
      </c>
      <c r="D18" s="24">
        <f>D15*D11</f>
        <v>36000</v>
      </c>
    </row>
    <row r="19" spans="1:4" x14ac:dyDescent="0.25">
      <c r="A19" s="20" t="s">
        <v>225</v>
      </c>
      <c r="B19" s="54">
        <f>B18-B6</f>
        <v>85000</v>
      </c>
      <c r="C19" s="54">
        <f>C18-C6</f>
        <v>37000</v>
      </c>
      <c r="D19" s="54">
        <f>D18-D6</f>
        <v>21000</v>
      </c>
    </row>
    <row r="21" spans="1:4" x14ac:dyDescent="0.25">
      <c r="A21" s="2" t="s">
        <v>226</v>
      </c>
      <c r="B21" s="2"/>
      <c r="C21" s="2"/>
      <c r="D21" s="2"/>
    </row>
    <row r="22" spans="1:4" x14ac:dyDescent="0.25">
      <c r="A22" s="18" t="s">
        <v>227</v>
      </c>
      <c r="B22" s="19" t="s">
        <v>207</v>
      </c>
      <c r="C22" s="19" t="s">
        <v>208</v>
      </c>
      <c r="D22" s="19" t="s">
        <v>209</v>
      </c>
    </row>
    <row r="23" spans="1:4" x14ac:dyDescent="0.25">
      <c r="A23" s="31" t="s">
        <v>228</v>
      </c>
      <c r="B23" s="24">
        <f>IF(1&lt;=B11,B15/((1+B10)^1),0)</f>
        <v>25714.285714285714</v>
      </c>
      <c r="C23" s="24">
        <f>IF(1&lt;=C11,C15/((1+C10)^1),0)</f>
        <v>18095.238095238095</v>
      </c>
      <c r="D23" s="24">
        <f>IF(1&lt;=D11,D15/((1+D10)^1),0)</f>
        <v>8571.4285714285706</v>
      </c>
    </row>
    <row r="24" spans="1:4" x14ac:dyDescent="0.25">
      <c r="A24" s="31" t="s">
        <v>229</v>
      </c>
      <c r="B24" s="24">
        <f>IF(2&lt;=B11,B15/((1+B10)^2),0)</f>
        <v>24489.795918367345</v>
      </c>
      <c r="C24" s="24">
        <f>IF(2&lt;=C11,C15/((1+C10)^2),0)</f>
        <v>17233.560090702947</v>
      </c>
      <c r="D24" s="24">
        <f>IF(2&lt;=D11,D15/((1+D10)^2),0)</f>
        <v>8163.2653061224491</v>
      </c>
    </row>
    <row r="25" spans="1:4" x14ac:dyDescent="0.25">
      <c r="A25" s="31" t="s">
        <v>230</v>
      </c>
      <c r="B25" s="24">
        <f>IF(3&lt;=B11,B15/((1+B10)^3),0)</f>
        <v>23323.615160349851</v>
      </c>
      <c r="C25" s="24">
        <f>IF(3&lt;=C11,C15/((1+C10)^3),0)</f>
        <v>16412.914372098043</v>
      </c>
      <c r="D25" s="24">
        <f>IF(3&lt;=D11,D15/((1+D10)^3),0)</f>
        <v>7774.5383867832843</v>
      </c>
    </row>
    <row r="26" spans="1:4" x14ac:dyDescent="0.25">
      <c r="A26" s="31" t="s">
        <v>231</v>
      </c>
      <c r="B26" s="24">
        <f>IF(4&lt;=B11,B15/((1+B10)^4),0)</f>
        <v>22212.966819380814</v>
      </c>
      <c r="C26" s="24">
        <f>IF(4&lt;=C11,C15/((1+C10)^4),0)</f>
        <v>0</v>
      </c>
      <c r="D26" s="24">
        <f>IF(4&lt;=D11,D15/((1+D10)^4),0)</f>
        <v>7404.3222731269379</v>
      </c>
    </row>
    <row r="27" spans="1:4" x14ac:dyDescent="0.25">
      <c r="A27" s="31" t="s">
        <v>232</v>
      </c>
      <c r="B27" s="24">
        <f>IF(5&lt;=B11,B15/((1+B10)^5),0)</f>
        <v>21155.206494648392</v>
      </c>
      <c r="C27" s="24">
        <f>IF(5&lt;=C11,C15/((1+C10)^5),0)</f>
        <v>0</v>
      </c>
      <c r="D27" s="24">
        <f>IF(5&lt;=D11,D15/((1+D10)^5),0)</f>
        <v>0</v>
      </c>
    </row>
    <row r="28" spans="1:4" x14ac:dyDescent="0.25">
      <c r="A28" s="20" t="s">
        <v>233</v>
      </c>
      <c r="B28" s="54">
        <f>SUM(B23:B27)-B6</f>
        <v>66895.870107032126</v>
      </c>
      <c r="C28" s="54">
        <f>SUM(C23:C27)-C6</f>
        <v>31741.712558039086</v>
      </c>
      <c r="D28" s="54">
        <f>SUM(D23:D27)-D6</f>
        <v>16913.554537461245</v>
      </c>
    </row>
    <row r="30" spans="1:4" x14ac:dyDescent="0.25">
      <c r="A30" s="2" t="s">
        <v>234</v>
      </c>
      <c r="B30" s="2"/>
      <c r="C30" s="2"/>
      <c r="D30" s="2"/>
    </row>
    <row r="31" spans="1:4" x14ac:dyDescent="0.25">
      <c r="A31" s="89" t="str">
        <f>IF(AND(B19&gt;=C19,B19&gt;=D19),"✅ Investering A ser bedst ud (højeste nettogevinst)",IF(C19&gt;=D19,"✅ Investering B ser bedst ud","✅ Investering C ser bedst ud"))</f>
        <v>✅ Investering A ser bedst ud (højeste nettogevinst)</v>
      </c>
      <c r="B31" s="89"/>
      <c r="C31" s="89"/>
      <c r="D31" s="89"/>
    </row>
  </sheetData>
  <mergeCells count="7">
    <mergeCell ref="A30:D30"/>
    <mergeCell ref="A31:D31"/>
    <mergeCell ref="A1:F1"/>
    <mergeCell ref="A2:F2"/>
    <mergeCell ref="A3:D3"/>
    <mergeCell ref="A13:D13"/>
    <mergeCell ref="A21:D2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🎯 Dashboard</vt:lpstr>
      <vt:lpstr>⚙️ Antagelser</vt:lpstr>
      <vt:lpstr>📊 Resultatbudget</vt:lpstr>
      <vt:lpstr>🧾 Momsopgørelse</vt:lpstr>
      <vt:lpstr>💧 Likviditet</vt:lpstr>
      <vt:lpstr>🏛️ Skatteberegner</vt:lpstr>
      <vt:lpstr>📐 Break-even</vt:lpstr>
      <vt:lpstr>💼 Lønberegner</vt:lpstr>
      <vt:lpstr>📈 Investering</vt:lpstr>
      <vt:lpstr>📥 Debitorer</vt:lpstr>
      <vt:lpstr>📤 Kreditorer</vt:lpstr>
      <vt:lpstr>_ChartData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Steffen Helk</cp:lastModifiedBy>
  <cp:revision>2</cp:revision>
  <dcterms:created xsi:type="dcterms:W3CDTF">2026-04-07T18:43:06Z</dcterms:created>
  <dcterms:modified xsi:type="dcterms:W3CDTF">2026-04-07T19:01:18Z</dcterms:modified>
  <dc:language>en-US</dc:language>
</cp:coreProperties>
</file>